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 activeTab="6"/>
  </bookViews>
  <sheets>
    <sheet name="!!!!Инструкция!!!!" sheetId="7" r:id="rId1"/>
    <sheet name="юноши 5-6" sheetId="5" r:id="rId2"/>
    <sheet name="девушки 5-6" sheetId="6" r:id="rId3"/>
    <sheet name="юноши-7-8" sheetId="1" r:id="rId4"/>
    <sheet name="девушки 7-8" sheetId="3" r:id="rId5"/>
    <sheet name="юноши 9-11" sheetId="2" r:id="rId6"/>
    <sheet name="девушки 9-11" sheetId="4" r:id="rId7"/>
    <sheet name="Лист1" sheetId="8" r:id="rId8"/>
  </sheets>
  <calcPr calcId="124519"/>
</workbook>
</file>

<file path=xl/calcChain.xml><?xml version="1.0" encoding="utf-8"?>
<calcChain xmlns="http://schemas.openxmlformats.org/spreadsheetml/2006/main">
  <c r="L6" i="4"/>
  <c r="F6"/>
  <c r="M3"/>
  <c r="N6" s="1"/>
  <c r="O6" s="1"/>
  <c r="K3"/>
  <c r="I3"/>
  <c r="J6" s="1"/>
  <c r="G3"/>
  <c r="H6" s="1"/>
  <c r="O3" l="1"/>
  <c r="P6"/>
  <c r="N6" i="1" l="1"/>
  <c r="O6" s="1"/>
  <c r="H6"/>
  <c r="F6"/>
  <c r="M3"/>
  <c r="K3"/>
  <c r="L6" s="1"/>
  <c r="I3"/>
  <c r="J6" s="1"/>
  <c r="G3"/>
  <c r="O7" i="3"/>
  <c r="N7"/>
  <c r="J7"/>
  <c r="H7"/>
  <c r="F7"/>
  <c r="L6"/>
  <c r="F6"/>
  <c r="M3"/>
  <c r="N6" s="1"/>
  <c r="O6" s="1"/>
  <c r="K3"/>
  <c r="L7" s="1"/>
  <c r="I3"/>
  <c r="J6" s="1"/>
  <c r="G3"/>
  <c r="H6" s="1"/>
  <c r="O3" i="1" l="1"/>
  <c r="P6" s="1"/>
  <c r="O3" i="3"/>
  <c r="P6" s="1"/>
  <c r="P7" l="1"/>
  <c r="F7" i="2" l="1"/>
  <c r="F13"/>
  <c r="F9"/>
  <c r="F11"/>
  <c r="F12"/>
  <c r="F13" i="5" l="1"/>
  <c r="F8"/>
  <c r="F7"/>
  <c r="F10"/>
  <c r="F14"/>
  <c r="F12" i="6"/>
  <c r="F7"/>
  <c r="F13"/>
  <c r="F10"/>
  <c r="F9"/>
  <c r="G3" i="2" l="1"/>
  <c r="G3" i="6"/>
  <c r="G3" i="5"/>
  <c r="H11" i="2" l="1"/>
  <c r="H7"/>
  <c r="H13"/>
  <c r="H9"/>
  <c r="H12"/>
  <c r="H10" i="5"/>
  <c r="H13"/>
  <c r="H14"/>
  <c r="H8"/>
  <c r="H7"/>
  <c r="H12"/>
  <c r="H10" i="6"/>
  <c r="H13"/>
  <c r="H12"/>
  <c r="H9"/>
  <c r="H7"/>
  <c r="H6" i="2"/>
  <c r="F6"/>
  <c r="H10"/>
  <c r="F10"/>
  <c r="H8"/>
  <c r="F8"/>
  <c r="H14"/>
  <c r="F14"/>
  <c r="M3"/>
  <c r="K3"/>
  <c r="I3"/>
  <c r="J6" s="1"/>
  <c r="H6" i="6"/>
  <c r="F6"/>
  <c r="H8"/>
  <c r="F8"/>
  <c r="H14"/>
  <c r="F14"/>
  <c r="H11"/>
  <c r="F11"/>
  <c r="M3"/>
  <c r="N12" s="1"/>
  <c r="K3"/>
  <c r="L12" s="1"/>
  <c r="I3"/>
  <c r="H6" i="5"/>
  <c r="H9"/>
  <c r="H11"/>
  <c r="F12"/>
  <c r="F6"/>
  <c r="F9"/>
  <c r="F11"/>
  <c r="J14" i="2" l="1"/>
  <c r="J8"/>
  <c r="J11"/>
  <c r="J12"/>
  <c r="J7"/>
  <c r="J13"/>
  <c r="J9"/>
  <c r="J10"/>
  <c r="N14"/>
  <c r="N7"/>
  <c r="L11"/>
  <c r="L7"/>
  <c r="N6"/>
  <c r="L6"/>
  <c r="L14"/>
  <c r="N13"/>
  <c r="N11"/>
  <c r="L10"/>
  <c r="L13"/>
  <c r="N10"/>
  <c r="N12"/>
  <c r="L9"/>
  <c r="L12"/>
  <c r="N8"/>
  <c r="N9"/>
  <c r="L8"/>
  <c r="N6" i="6"/>
  <c r="N11"/>
  <c r="N14"/>
  <c r="N13"/>
  <c r="L14"/>
  <c r="L13"/>
  <c r="L11"/>
  <c r="N10"/>
  <c r="N9"/>
  <c r="L6"/>
  <c r="L9"/>
  <c r="L7"/>
  <c r="L10"/>
  <c r="L8"/>
  <c r="N8"/>
  <c r="N7"/>
  <c r="J10"/>
  <c r="J12"/>
  <c r="O12" s="1"/>
  <c r="J9"/>
  <c r="J7"/>
  <c r="J13"/>
  <c r="J11"/>
  <c r="J8"/>
  <c r="J14"/>
  <c r="J6"/>
  <c r="M3" i="5"/>
  <c r="K3"/>
  <c r="L10" s="1"/>
  <c r="I3"/>
  <c r="J10" s="1"/>
  <c r="O10" i="2" l="1"/>
  <c r="O6"/>
  <c r="O12"/>
  <c r="O7"/>
  <c r="O9"/>
  <c r="O11"/>
  <c r="O13"/>
  <c r="O8"/>
  <c r="O14"/>
  <c r="O11" i="6"/>
  <c r="J13" i="5"/>
  <c r="J14"/>
  <c r="J8"/>
  <c r="J7"/>
  <c r="O10" i="6"/>
  <c r="O6"/>
  <c r="O7"/>
  <c r="O13"/>
  <c r="N13" i="5"/>
  <c r="N10"/>
  <c r="O10" s="1"/>
  <c r="L8"/>
  <c r="L13"/>
  <c r="N14"/>
  <c r="N8"/>
  <c r="L7"/>
  <c r="L14"/>
  <c r="N6"/>
  <c r="N7"/>
  <c r="O14" i="6"/>
  <c r="O9"/>
  <c r="O8"/>
  <c r="J9" i="5"/>
  <c r="L12"/>
  <c r="L9"/>
  <c r="L6"/>
  <c r="L11"/>
  <c r="N12"/>
  <c r="N9"/>
  <c r="N11"/>
  <c r="J6"/>
  <c r="J11"/>
  <c r="J12"/>
  <c r="O3" i="2" l="1"/>
  <c r="P12" s="1"/>
  <c r="O13" i="5"/>
  <c r="O7"/>
  <c r="O8"/>
  <c r="O14"/>
  <c r="O3" i="6"/>
  <c r="P6" s="1"/>
  <c r="O12" i="5"/>
  <c r="O11"/>
  <c r="O9"/>
  <c r="O6"/>
  <c r="P7" i="2" l="1"/>
  <c r="P13"/>
  <c r="P9"/>
  <c r="P10"/>
  <c r="P6"/>
  <c r="P14"/>
  <c r="P8"/>
  <c r="P11"/>
  <c r="P9" i="6"/>
  <c r="P7"/>
  <c r="P14"/>
  <c r="P12"/>
  <c r="P10"/>
  <c r="P11"/>
  <c r="P13"/>
  <c r="P8"/>
  <c r="O3" i="5"/>
  <c r="P10" s="1"/>
  <c r="P14" l="1"/>
  <c r="P11"/>
  <c r="P7"/>
  <c r="P8"/>
  <c r="P13"/>
  <c r="P9"/>
  <c r="P6"/>
  <c r="P12"/>
</calcChain>
</file>

<file path=xl/sharedStrings.xml><?xml version="1.0" encoding="utf-8"?>
<sst xmlns="http://schemas.openxmlformats.org/spreadsheetml/2006/main" count="319" uniqueCount="109">
  <si>
    <t>Образовательная организация</t>
  </si>
  <si>
    <t>Класс</t>
  </si>
  <si>
    <t>№ п/п</t>
  </si>
  <si>
    <t>ФИО участника олимпиады</t>
  </si>
  <si>
    <t>результат</t>
  </si>
  <si>
    <t>зачетный балл</t>
  </si>
  <si>
    <t>9-11 классы</t>
  </si>
  <si>
    <t>7-8 классы</t>
  </si>
  <si>
    <t>5-6 классы</t>
  </si>
  <si>
    <t>Практические испытания (2 тур)</t>
  </si>
  <si>
    <t>Теоретико-методическое испытание (1 тур)</t>
  </si>
  <si>
    <t>юноши</t>
  </si>
  <si>
    <t>Итого</t>
  </si>
  <si>
    <t>Статус</t>
  </si>
  <si>
    <t>Прикладная физическая культура</t>
  </si>
  <si>
    <t>девушки</t>
  </si>
  <si>
    <r>
      <t>результат</t>
    </r>
    <r>
      <rPr>
        <sz val="12"/>
        <color theme="0"/>
        <rFont val="Times New Roman"/>
        <family val="1"/>
        <charset val="204"/>
      </rPr>
      <t>2</t>
    </r>
  </si>
  <si>
    <r>
      <t>зачетный балл</t>
    </r>
    <r>
      <rPr>
        <sz val="12"/>
        <color theme="0"/>
        <rFont val="Times New Roman"/>
        <family val="1"/>
        <charset val="204"/>
      </rPr>
      <t>3</t>
    </r>
  </si>
  <si>
    <r>
      <t>результат (сек)</t>
    </r>
    <r>
      <rPr>
        <sz val="12"/>
        <color theme="0"/>
        <rFont val="Times New Roman"/>
        <family val="1"/>
        <charset val="204"/>
      </rPr>
      <t>5</t>
    </r>
  </si>
  <si>
    <r>
      <t>зачетный балл</t>
    </r>
    <r>
      <rPr>
        <sz val="12"/>
        <color theme="0"/>
        <rFont val="Times New Roman"/>
        <family val="1"/>
        <charset val="204"/>
      </rPr>
      <t>6</t>
    </r>
  </si>
  <si>
    <r>
      <t>результат (сек)</t>
    </r>
    <r>
      <rPr>
        <sz val="12"/>
        <color theme="0"/>
        <rFont val="Times New Roman"/>
        <family val="1"/>
        <charset val="204"/>
      </rPr>
      <t>7</t>
    </r>
  </si>
  <si>
    <r>
      <t>зачетный балл</t>
    </r>
    <r>
      <rPr>
        <sz val="12"/>
        <color theme="0"/>
        <rFont val="Times New Roman"/>
        <family val="1"/>
        <charset val="204"/>
      </rPr>
      <t>8</t>
    </r>
  </si>
  <si>
    <r>
      <t>зачетный балл</t>
    </r>
    <r>
      <rPr>
        <sz val="12"/>
        <color theme="0"/>
        <rFont val="Times New Roman"/>
        <family val="1"/>
        <charset val="204"/>
      </rPr>
      <t>9</t>
    </r>
  </si>
  <si>
    <t>Спортивные игры</t>
  </si>
  <si>
    <t>Легкая атлетика</t>
  </si>
  <si>
    <t>Гимнастика</t>
  </si>
  <si>
    <r>
      <t>результат</t>
    </r>
    <r>
      <rPr>
        <sz val="12"/>
        <color theme="0"/>
        <rFont val="Times New Roman"/>
        <family val="1"/>
        <charset val="204"/>
      </rPr>
      <t xml:space="preserve">3 </t>
    </r>
    <r>
      <rPr>
        <sz val="12"/>
        <color theme="1"/>
        <rFont val="Times New Roman"/>
        <family val="1"/>
        <charset val="204"/>
      </rPr>
      <t>(сек)</t>
    </r>
  </si>
  <si>
    <r>
      <t>зачетный балл</t>
    </r>
    <r>
      <rPr>
        <sz val="12"/>
        <color theme="0"/>
        <rFont val="Times New Roman"/>
        <family val="1"/>
        <charset val="204"/>
      </rPr>
      <t>72</t>
    </r>
  </si>
  <si>
    <t>29-30 октября 2020 г.</t>
  </si>
  <si>
    <t>мальчики</t>
  </si>
  <si>
    <t>девочки</t>
  </si>
  <si>
    <t xml:space="preserve"> девушки</t>
  </si>
  <si>
    <r>
      <rPr>
        <b/>
        <u/>
        <sz val="26"/>
        <color rgb="FFFF0000"/>
        <rFont val="Times New Roman"/>
        <family val="1"/>
        <charset val="204"/>
      </rPr>
      <t>Уважаемые коллеги!</t>
    </r>
    <r>
      <rPr>
        <b/>
        <sz val="26"/>
        <color rgb="FFFF0000"/>
        <rFont val="Times New Roman"/>
        <family val="1"/>
        <charset val="204"/>
      </rPr>
      <t xml:space="preserve">
Внимательно прочитайте инструкции по заполнению протоколов! </t>
    </r>
  </si>
  <si>
    <t>Всю информацию необходимо заносить только в ячейки белого цвета.
В ячейках серого света КАТЕГОРИЧЕСКИ запрещается что-либо вносить, изменять  и удалять информацию или формулы.</t>
  </si>
  <si>
    <t>Вначале занесите ФИО участников, класс и ОУ</t>
  </si>
  <si>
    <t>Если участник не прошел вид испытания, то в поле результат пишем: неявка, сошел, снят врачом и т.д.</t>
  </si>
  <si>
    <t>Примечание</t>
  </si>
  <si>
    <t>Итоговый зачетный балл появится только после внесения результатов по пяти видам (1 -теор., 4 - практ)</t>
  </si>
  <si>
    <t>Участник не прошедший 1 вид испытаний исключается из итогового ранжирования зачетных баллов, но сохраняет статус участника</t>
  </si>
  <si>
    <t>Участник не прошедший 2 вида испытаний и более теряет статус участника</t>
  </si>
  <si>
    <t>Статус Победитель, Призер, Участник появится автоматически, в зависимости от набранных зачетных баллов и количества участников.</t>
  </si>
  <si>
    <t>Чтобы правильно оформить таблицу, согласно требованиям необходимо:</t>
  </si>
  <si>
    <t>а) Вначале отсортировать Столбец ФИО по алфавиту, используя кнопку автофильтра в заголовке столбца</t>
  </si>
  <si>
    <t>б) затем отсортировать столбец Итоговых зачетных баллов по убыванию, используя кнопку автофильтра в заголовке столбца</t>
  </si>
  <si>
    <t>При добавлении ФИО в ячейку строки, следующей сразу после таблицы, таблица увеличивается автоматически. Также можно увеличить таблицу с помощью маркера, расположенного в правом нижнем углу таблицы  (при наведении курсора мыши на маркер, изображение курсора меняется на двунаправленную стрелку)
При необходимости удалите пустые строки в таблице</t>
  </si>
  <si>
    <t>Не забудьте после таблицы вставить поле для подписи членов жюри.</t>
  </si>
  <si>
    <t>В поле зачетный балл появится соответствующее значение автоматически, вычисленное по формуле.</t>
  </si>
  <si>
    <t>При равенстве итоговых зачетных баллов у участников, они должны располагаться по алфавиту</t>
  </si>
  <si>
    <t xml:space="preserve">После сортировок, пронумеруйте участников в таблице </t>
  </si>
  <si>
    <t>!</t>
  </si>
  <si>
    <r>
      <t xml:space="preserve">После прохождения вида испытания в поле результат занесите набранные баллы или </t>
    </r>
    <r>
      <rPr>
        <u/>
        <sz val="18"/>
        <color theme="1"/>
        <rFont val="Times New Roman"/>
        <family val="1"/>
        <charset val="204"/>
      </rPr>
      <t>время в секундах.</t>
    </r>
  </si>
  <si>
    <r>
      <t xml:space="preserve">После оформления всех сводных протоколов, отправьте их на проверку (файл Excel) по электронной почте на адрес </t>
    </r>
    <r>
      <rPr>
        <b/>
        <u/>
        <sz val="24"/>
        <color rgb="FF0070C0"/>
        <rFont val="Times New Roman"/>
        <family val="1"/>
        <charset val="204"/>
      </rPr>
      <t>nartova@crokhv.ru</t>
    </r>
    <r>
      <rPr>
        <b/>
        <sz val="24"/>
        <color rgb="FFFF0000"/>
        <rFont val="Times New Roman"/>
        <family val="1"/>
        <charset val="204"/>
      </rPr>
      <t xml:space="preserve">
Помните о том, что итоги школьного этапа олимпиады должны появиться на сайте Вашего учреждения не позднее 3 суток после её проведения.</t>
    </r>
  </si>
  <si>
    <t>Александрова Алина Сергеевна</t>
  </si>
  <si>
    <t>Бажора Вероника Андреевна</t>
  </si>
  <si>
    <t>Ермилова Виктория  Вячеславовна</t>
  </si>
  <si>
    <t>Кантемирва Полина Романовна</t>
  </si>
  <si>
    <t>Курочкина Татьяна Евгеньевна</t>
  </si>
  <si>
    <t>Мирошникова Елизавета Викторовна</t>
  </si>
  <si>
    <t>Пархоменко Елизавета Михайловна</t>
  </si>
  <si>
    <t>Соболева Аделина Денисовна</t>
  </si>
  <si>
    <t>Тараскина Арина Вячеславовна</t>
  </si>
  <si>
    <t>МБОУ СОШ№62</t>
  </si>
  <si>
    <t>5а</t>
  </si>
  <si>
    <t>5г</t>
  </si>
  <si>
    <t>6г</t>
  </si>
  <si>
    <t>4в</t>
  </si>
  <si>
    <t>4г</t>
  </si>
  <si>
    <t>Бадалян Артём Вагеевич</t>
  </si>
  <si>
    <t>Горбачев Лев Евгеньевич</t>
  </si>
  <si>
    <t>Исмаилов Сухроб Тулкинович</t>
  </si>
  <si>
    <t>Корытов Матвей Алексеевич</t>
  </si>
  <si>
    <t>Костюченко Матвей Антонович</t>
  </si>
  <si>
    <t>Ли Макар Евгеньевич</t>
  </si>
  <si>
    <t>Лукомский Максим Александрович</t>
  </si>
  <si>
    <t>Новиков Иван Денисович</t>
  </si>
  <si>
    <t>Сайфидинов Хамидуло Имомидинович</t>
  </si>
  <si>
    <t>4б</t>
  </si>
  <si>
    <t>Сводный протокол
школьного этапа Всероссийской олимпиады школьников по физической культуре 2020-21 уч.год
МБОУ СОШ № 62</t>
  </si>
  <si>
    <t>МБОУ СОШ №62</t>
  </si>
  <si>
    <t>7б</t>
  </si>
  <si>
    <t>Васильева Анжелика Романовна</t>
  </si>
  <si>
    <t>Евграфова Екатерина Максимовна</t>
  </si>
  <si>
    <t>Акопян Сергей Алексеевич</t>
  </si>
  <si>
    <t>Ануфриев Семен Александрович</t>
  </si>
  <si>
    <t>Москаленко Максим Андреевич</t>
  </si>
  <si>
    <t>Окишев Владислав Дмитриевич</t>
  </si>
  <si>
    <t>Петрищев Кирилл Константинович</t>
  </si>
  <si>
    <t>Сергиенко Всеволод Сергеевич</t>
  </si>
  <si>
    <t>Сычев Михаил Дмитриевич</t>
  </si>
  <si>
    <t>Удельнов Георгий Сергеевич</t>
  </si>
  <si>
    <t>Чебаков Валерий Олегович</t>
  </si>
  <si>
    <t>9в</t>
  </si>
  <si>
    <t>9б</t>
  </si>
  <si>
    <t>11а</t>
  </si>
  <si>
    <t>Сводный протокол
школьного этапа Всероссийской олимпиады школьников по физической культуре 2020-21 уч.год
МБОУ СОШ№62</t>
  </si>
  <si>
    <t>Лукьяненко Виктория Алексеевна</t>
  </si>
  <si>
    <t>10а</t>
  </si>
  <si>
    <t>8б</t>
  </si>
  <si>
    <t>8г</t>
  </si>
  <si>
    <t>Епифаенцев Владислав Сергеевич</t>
  </si>
  <si>
    <t>МБОУ СОШ № 62</t>
  </si>
  <si>
    <t>Сводный протокол
школьного этапа Всероссийской олимпиады школьников по физической культуре 2020-21 уч.год
МБОУ СОШ №62</t>
  </si>
  <si>
    <t>Председатель жюри:</t>
  </si>
  <si>
    <t>Члены жюри:</t>
  </si>
  <si>
    <t>Д.В.Диденко</t>
  </si>
  <si>
    <t>О.А.Лиманова</t>
  </si>
  <si>
    <t>Г.И.Диденко</t>
  </si>
  <si>
    <t>Директор МБОУ СОШ №62</t>
  </si>
  <si>
    <t>Ю.К.Каменщиков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</si>
</sst>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u/>
      <sz val="2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24"/>
      <color rgb="FF0070C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8" fillId="3" borderId="16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2" fontId="8" fillId="3" borderId="18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left" vertical="top" wrapText="1"/>
    </xf>
    <xf numFmtId="0" fontId="10" fillId="3" borderId="18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26" xfId="0" applyFont="1" applyBorder="1" applyAlignment="1" applyProtection="1">
      <alignment horizontal="center" vertical="center"/>
      <protection locked="0" hidden="1"/>
    </xf>
    <xf numFmtId="0" fontId="0" fillId="0" borderId="11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2" fontId="8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2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2" fontId="8" fillId="3" borderId="19" xfId="0" applyNumberFormat="1" applyFont="1" applyFill="1" applyBorder="1" applyAlignment="1" applyProtection="1">
      <alignment horizontal="center" vertical="center"/>
      <protection locked="0" hidden="1"/>
    </xf>
    <xf numFmtId="0" fontId="9" fillId="3" borderId="19" xfId="0" applyFont="1" applyFill="1" applyBorder="1" applyAlignment="1" applyProtection="1">
      <alignment horizontal="left" vertical="top" wrapText="1"/>
      <protection locked="0" hidden="1"/>
    </xf>
    <xf numFmtId="0" fontId="0" fillId="0" borderId="0" xfId="0" applyProtection="1"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0" fontId="4" fillId="0" borderId="20" xfId="0" applyFont="1" applyBorder="1" applyAlignment="1" applyProtection="1">
      <alignment horizontal="center" vertical="center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locked="0" hidden="1"/>
    </xf>
    <xf numFmtId="0" fontId="1" fillId="0" borderId="29" xfId="0" applyFont="1" applyBorder="1" applyAlignment="1" applyProtection="1">
      <alignment horizontal="center" vertical="center" wrapText="1"/>
      <protection locked="0" hidden="1"/>
    </xf>
    <xf numFmtId="0" fontId="1" fillId="0" borderId="30" xfId="0" applyFont="1" applyFill="1" applyBorder="1" applyAlignment="1" applyProtection="1">
      <alignment horizontal="center" vertical="center" wrapText="1"/>
      <protection locked="0" hidden="1"/>
    </xf>
    <xf numFmtId="0" fontId="1" fillId="0" borderId="22" xfId="0" applyFont="1" applyBorder="1" applyAlignment="1" applyProtection="1">
      <alignment horizontal="center" vertical="center" wrapText="1"/>
      <protection locked="0" hidden="1"/>
    </xf>
    <xf numFmtId="0" fontId="1" fillId="0" borderId="23" xfId="0" applyFont="1" applyBorder="1" applyAlignment="1" applyProtection="1">
      <alignment horizontal="center" vertical="center" wrapText="1"/>
      <protection locked="0" hidden="1"/>
    </xf>
    <xf numFmtId="0" fontId="1" fillId="0" borderId="6" xfId="0" applyFont="1" applyBorder="1" applyAlignment="1" applyProtection="1">
      <alignment horizontal="center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top" wrapText="1"/>
    </xf>
    <xf numFmtId="0" fontId="19" fillId="0" borderId="15" xfId="0" applyFont="1" applyFill="1" applyBorder="1" applyAlignment="1">
      <alignment horizontal="center" vertical="center" wrapText="1"/>
    </xf>
    <xf numFmtId="2" fontId="21" fillId="3" borderId="16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2" fontId="21" fillId="3" borderId="16" xfId="0" applyNumberFormat="1" applyFont="1" applyFill="1" applyBorder="1" applyAlignment="1">
      <alignment horizontal="center" vertical="center"/>
    </xf>
    <xf numFmtId="0" fontId="19" fillId="0" borderId="31" xfId="0" applyNumberFormat="1" applyFont="1" applyFill="1" applyBorder="1" applyAlignment="1">
      <alignment horizontal="center" vertical="center"/>
    </xf>
    <xf numFmtId="2" fontId="21" fillId="3" borderId="32" xfId="0" applyNumberFormat="1" applyFont="1" applyFill="1" applyBorder="1" applyAlignment="1">
      <alignment horizontal="center" vertical="center"/>
    </xf>
    <xf numFmtId="2" fontId="21" fillId="3" borderId="18" xfId="0" applyNumberFormat="1" applyFont="1" applyFill="1" applyBorder="1" applyAlignment="1">
      <alignment horizontal="center" vertical="center"/>
    </xf>
    <xf numFmtId="0" fontId="22" fillId="3" borderId="18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3" xfId="0" applyFont="1" applyFill="1" applyBorder="1" applyAlignment="1" applyProtection="1">
      <alignment horizontal="left" vertical="top" wrapText="1"/>
      <protection locked="0" hidden="1"/>
    </xf>
    <xf numFmtId="0" fontId="5" fillId="0" borderId="3" xfId="0" applyFont="1" applyFill="1" applyBorder="1" applyAlignment="1" applyProtection="1">
      <alignment horizontal="justify" vertical="top" wrapText="1"/>
      <protection locked="0" hidden="1"/>
    </xf>
    <xf numFmtId="0" fontId="1" fillId="2" borderId="5" xfId="0" applyFont="1" applyFill="1" applyBorder="1" applyAlignment="1" applyProtection="1">
      <alignment horizontal="center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2" fontId="8" fillId="3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0" fillId="0" borderId="24" xfId="0" applyFont="1" applyBorder="1" applyAlignment="1" applyProtection="1">
      <alignment horizontal="center" vertical="center"/>
      <protection locked="0" hidden="1"/>
    </xf>
    <xf numFmtId="0" fontId="0" fillId="0" borderId="27" xfId="0" applyFont="1" applyBorder="1" applyAlignment="1" applyProtection="1">
      <alignment horizontal="center" vertical="center"/>
      <protection locked="0" hidden="1"/>
    </xf>
    <xf numFmtId="0" fontId="0" fillId="0" borderId="25" xfId="0" applyFont="1" applyBorder="1" applyAlignment="1" applyProtection="1">
      <alignment horizontal="center" vertical="center"/>
      <protection locked="0" hidden="1"/>
    </xf>
    <xf numFmtId="0" fontId="1" fillId="0" borderId="34" xfId="0" applyFont="1" applyBorder="1" applyAlignment="1" applyProtection="1">
      <alignment horizontal="center" vertical="center" wrapText="1"/>
      <protection locked="0" hidden="1"/>
    </xf>
    <xf numFmtId="0" fontId="1" fillId="0" borderId="35" xfId="0" applyFont="1" applyBorder="1" applyAlignment="1" applyProtection="1">
      <alignment horizontal="center" vertical="center" wrapText="1"/>
      <protection locked="0" hidden="1"/>
    </xf>
    <xf numFmtId="0" fontId="0" fillId="0" borderId="34" xfId="0" applyFont="1" applyBorder="1" applyAlignment="1" applyProtection="1">
      <alignment horizontal="center" vertical="center" wrapText="1"/>
      <protection locked="0" hidden="1"/>
    </xf>
    <xf numFmtId="0" fontId="0" fillId="0" borderId="35" xfId="0" applyFont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126"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justify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  <protection locked="0" hidden="1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0" hidden="1"/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justify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justify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textRotation="0" indent="0" relativeIndent="255" justifyLastLine="0" shrinkToFit="0" readingOrder="0"/>
      <border diagonalUp="0" diagonalDown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2647950</xdr:colOff>
      <xdr:row>15</xdr:row>
      <xdr:rowOff>361950</xdr:rowOff>
    </xdr:from>
    <xdr:to>
      <xdr:col>1</xdr:col>
      <xdr:colOff>5981700</xdr:colOff>
      <xdr:row>15</xdr:row>
      <xdr:rowOff>1533525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9296400"/>
          <a:ext cx="3333750" cy="1171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4057650</xdr:colOff>
      <xdr:row>16</xdr:row>
      <xdr:rowOff>523875</xdr:rowOff>
    </xdr:from>
    <xdr:to>
      <xdr:col>1</xdr:col>
      <xdr:colOff>5314950</xdr:colOff>
      <xdr:row>16</xdr:row>
      <xdr:rowOff>1981200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201400"/>
          <a:ext cx="1257300" cy="1457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283655</xdr:colOff>
      <xdr:row>0</xdr:row>
      <xdr:rowOff>52838</xdr:rowOff>
    </xdr:from>
    <xdr:to>
      <xdr:col>1</xdr:col>
      <xdr:colOff>1083755</xdr:colOff>
      <xdr:row>0</xdr:row>
      <xdr:rowOff>807432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83705" y="52838"/>
          <a:ext cx="800100" cy="754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283655</xdr:colOff>
      <xdr:row>0</xdr:row>
      <xdr:rowOff>52838</xdr:rowOff>
    </xdr:from>
    <xdr:to>
      <xdr:col>1</xdr:col>
      <xdr:colOff>1083755</xdr:colOff>
      <xdr:row>1</xdr:row>
      <xdr:rowOff>7332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83705" y="52838"/>
          <a:ext cx="800100" cy="754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245555</xdr:colOff>
      <xdr:row>0</xdr:row>
      <xdr:rowOff>62363</xdr:rowOff>
    </xdr:from>
    <xdr:to>
      <xdr:col>1</xdr:col>
      <xdr:colOff>1045655</xdr:colOff>
      <xdr:row>0</xdr:row>
      <xdr:rowOff>816957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43120" y="62363"/>
          <a:ext cx="800100" cy="754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245555</xdr:colOff>
      <xdr:row>0</xdr:row>
      <xdr:rowOff>62363</xdr:rowOff>
    </xdr:from>
    <xdr:to>
      <xdr:col>1</xdr:col>
      <xdr:colOff>1045655</xdr:colOff>
      <xdr:row>0</xdr:row>
      <xdr:rowOff>816957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74180" y="62363"/>
          <a:ext cx="800100" cy="754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0</xdr:row>
      <xdr:rowOff>112059</xdr:rowOff>
    </xdr:from>
    <xdr:to>
      <xdr:col>1</xdr:col>
      <xdr:colOff>979394</xdr:colOff>
      <xdr:row>0</xdr:row>
      <xdr:rowOff>867895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579344" y="112059"/>
          <a:ext cx="800100" cy="754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179294</xdr:colOff>
      <xdr:row>0</xdr:row>
      <xdr:rowOff>112059</xdr:rowOff>
    </xdr:from>
    <xdr:to>
      <xdr:col>1</xdr:col>
      <xdr:colOff>979394</xdr:colOff>
      <xdr:row>0</xdr:row>
      <xdr:rowOff>867895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07919" y="112059"/>
          <a:ext cx="800100" cy="7558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0</xdr:row>
      <xdr:rowOff>112059</xdr:rowOff>
    </xdr:from>
    <xdr:to>
      <xdr:col>1</xdr:col>
      <xdr:colOff>979394</xdr:colOff>
      <xdr:row>0</xdr:row>
      <xdr:rowOff>866214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582706" y="112059"/>
          <a:ext cx="800100" cy="754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268941</xdr:colOff>
      <xdr:row>0</xdr:row>
      <xdr:rowOff>134471</xdr:rowOff>
    </xdr:from>
    <xdr:to>
      <xdr:col>1</xdr:col>
      <xdr:colOff>1069041</xdr:colOff>
      <xdr:row>0</xdr:row>
      <xdr:rowOff>886945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672353" y="324971"/>
          <a:ext cx="800100" cy="7524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268941</xdr:colOff>
      <xdr:row>0</xdr:row>
      <xdr:rowOff>134471</xdr:rowOff>
    </xdr:from>
    <xdr:to>
      <xdr:col>1</xdr:col>
      <xdr:colOff>1069041</xdr:colOff>
      <xdr:row>0</xdr:row>
      <xdr:rowOff>886945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64226"/>
        <a:stretch/>
      </xdr:blipFill>
      <xdr:spPr bwMode="auto">
        <a:xfrm>
          <a:off x="583266" y="134471"/>
          <a:ext cx="800100" cy="7524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протокол56м" displayName="протокол56м" ref="A5:P14" totalsRowShown="0" headerRowDxfId="125" dataDxfId="123" headerRowBorderDxfId="124" tableBorderDxfId="122" totalsRowBorderDxfId="121">
  <autoFilter ref="A5:P14"/>
  <sortState ref="A6:P14">
    <sortCondition descending="1" ref="O5:O14"/>
  </sortState>
  <tableColumns count="16">
    <tableColumn id="1" name="№ п/п" dataDxfId="120"/>
    <tableColumn id="2" name="ФИО участника олимпиады" dataDxfId="119"/>
    <tableColumn id="3" name="Образовательная организация" dataDxfId="118"/>
    <tableColumn id="4" name="Класс" dataDxfId="117"/>
    <tableColumn id="5" name="результат" dataDxfId="116"/>
    <tableColumn id="6" name="зачетный балл" dataDxfId="115">
      <calculatedColumnFormula>IF(OR(ISTEXT(протокол56м[[#This Row],[результат]]),протокол56м[[#This Row],[результат]]=""),"",($F$3*протокол56м[[#This Row],[результат]])/$E$3)</calculatedColumnFormula>
    </tableColumn>
    <tableColumn id="7" name="результат2" dataDxfId="114"/>
    <tableColumn id="9" name="зачетный балл3" dataDxfId="113">
      <calculatedColumnFormula>IF(OR(ISTEXT(протокол56м[[#This Row],[результат2]]),протокол56м[[#This Row],[результат2]]=""),"",($H$3*протокол56м[[#This Row],[результат2]])/$G$3)</calculatedColumnFormula>
    </tableColumn>
    <tableColumn id="13" name="результат (сек)5" dataDxfId="112"/>
    <tableColumn id="15" name="зачетный балл6" dataDxfId="111">
      <calculatedColumnFormula>IF(OR(ISTEXT(протокол56м[[#This Row],[результат (сек)5]]),протокол56м[[#This Row],[результат (сек)5]]=""),"",($J$3*$I$3)/протокол56м[[#This Row],[результат (сек)5]])</calculatedColumnFormula>
    </tableColumn>
    <tableColumn id="8" name="результат3 (сек)" dataDxfId="110"/>
    <tableColumn id="11" name="зачетный балл72" dataDxfId="109">
      <calculatedColumnFormula>IF(OR(ISTEXT(протокол56м[[#This Row],[результат3 (сек)]]),протокол56м[[#This Row],[результат3 (сек)]]=""),"",($L$3*$K$3)/протокол56м[[#This Row],[результат3 (сек)]])</calculatedColumnFormula>
    </tableColumn>
    <tableColumn id="16" name="результат (сек)7" dataDxfId="108"/>
    <tableColumn id="18" name="зачетный балл8" dataDxfId="107">
      <calculatedColumnFormula>IF(OR(ISTEXT(протокол56м[[#This Row],[результат (сек)7]]),протокол56м[[#This Row],[результат (сек)7]]=""),"",($N$3*$M$3)/протокол56м[[#This Row],[результат (сек)7]])</calculatedColumnFormula>
    </tableColumn>
    <tableColumn id="19" name="зачетный балл9" dataDxfId="106">
      <calculatedColumnFormula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calculatedColumnFormula>
    </tableColumn>
    <tableColumn id="10" name="Статус" dataDxfId="105">
      <calculatedColumnFormula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" name="протокол56д" displayName="протокол56д" ref="A5:P14" totalsRowShown="0" headerRowDxfId="104" dataDxfId="102" headerRowBorderDxfId="103" tableBorderDxfId="101" totalsRowBorderDxfId="100">
  <autoFilter ref="A5:P14"/>
  <sortState ref="A6:P14">
    <sortCondition descending="1" ref="O5:O14"/>
  </sortState>
  <tableColumns count="16">
    <tableColumn id="1" name="№ п/п" dataDxfId="99"/>
    <tableColumn id="2" name="ФИО участника олимпиады" dataDxfId="98"/>
    <tableColumn id="3" name="Образовательная организация" dataDxfId="97"/>
    <tableColumn id="4" name="Класс" dataDxfId="96"/>
    <tableColumn id="5" name="результат" dataDxfId="95"/>
    <tableColumn id="6" name="зачетный балл" dataDxfId="94">
      <calculatedColumnFormula>IF(OR(ISTEXT(протокол56д[[#This Row],[результат]]),протокол56д[[#This Row],[результат]]=""),"",($F$3*протокол56д[[#This Row],[результат]])/$E$3)</calculatedColumnFormula>
    </tableColumn>
    <tableColumn id="7" name="результат2" dataDxfId="93"/>
    <tableColumn id="9" name="зачетный балл3" dataDxfId="92">
      <calculatedColumnFormula>IF(OR(ISTEXT(протокол56д[[#This Row],[результат2]]),протокол56д[[#This Row],[результат2]]=""),"",($H$3*протокол56д[[#This Row],[результат2]])/$G$3)</calculatedColumnFormula>
    </tableColumn>
    <tableColumn id="13" name="результат (сек)5" dataDxfId="91"/>
    <tableColumn id="15" name="зачетный балл6" dataDxfId="90">
      <calculatedColumnFormula>IF(OR(ISTEXT(протокол56д[[#This Row],[результат (сек)5]]),протокол56д[[#This Row],[результат (сек)5]]=""),"",($J$3*$I$3)/протокол56д[[#This Row],[результат (сек)5]])</calculatedColumnFormula>
    </tableColumn>
    <tableColumn id="8" name="результат3 (сек)" dataDxfId="89"/>
    <tableColumn id="11" name="зачетный балл72" dataDxfId="88">
      <calculatedColumnFormula>IF(OR(ISTEXT(протокол56д[[#This Row],[результат3 (сек)]]),протокол56д[[#This Row],[результат3 (сек)]]=""),"",($L$3*$K$3)/протокол56д[[#This Row],[результат3 (сек)]])</calculatedColumnFormula>
    </tableColumn>
    <tableColumn id="16" name="результат (сек)7" dataDxfId="87"/>
    <tableColumn id="18" name="зачетный балл8" dataDxfId="86">
      <calculatedColumnFormula>IF(OR(ISTEXT(протокол56д[[#This Row],[результат (сек)7]]),протокол56д[[#This Row],[результат (сек)7]]=""),"",($N$3*$M$3)/протокол56д[[#This Row],[результат (сек)7]])</calculatedColumnFormula>
    </tableColumn>
    <tableColumn id="19" name="зачетный балл9" dataDxfId="85">
      <calculatedColumnFormula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calculatedColumnFormula>
    </tableColumn>
    <tableColumn id="10" name="Статус" dataDxfId="84">
      <calculatedColumnFormula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протокол78ю5" displayName="протокол78ю5" ref="A5:P6" totalsRowShown="0" headerRowDxfId="83" dataDxfId="81" headerRowBorderDxfId="82" tableBorderDxfId="80" totalsRowBorderDxfId="79">
  <autoFilter ref="A5:P6"/>
  <sortState ref="A6:Q90">
    <sortCondition ref="C4:C89"/>
  </sortState>
  <tableColumns count="16">
    <tableColumn id="1" name="№ п/п" dataDxfId="78"/>
    <tableColumn id="2" name="ФИО участника олимпиады" dataDxfId="77"/>
    <tableColumn id="3" name="Образовательная организация" dataDxfId="76"/>
    <tableColumn id="4" name="Класс" dataDxfId="75"/>
    <tableColumn id="5" name="результат" dataDxfId="74"/>
    <tableColumn id="6" name="зачетный балл" dataDxfId="73">
      <calculatedColumnFormula>IF(OR(ISTEXT(протокол78ю5[[#This Row],[результат]]),протокол78ю5[[#This Row],[результат]]=""),"",($F$3*протокол78ю5[[#This Row],[результат]])/$E$3)</calculatedColumnFormula>
    </tableColumn>
    <tableColumn id="7" name="результат2" dataDxfId="72"/>
    <tableColumn id="9" name="зачетный балл3" dataDxfId="71">
      <calculatedColumnFormula>IF(OR(ISTEXT(протокол78ю5[[#This Row],[результат2]]),протокол78ю5[[#This Row],[результат2]]=""),"",($H$3*протокол78ю5[[#This Row],[результат2]])/$G$3)</calculatedColumnFormula>
    </tableColumn>
    <tableColumn id="13" name="результат (сек)5" dataDxfId="70"/>
    <tableColumn id="15" name="зачетный балл6" dataDxfId="69">
      <calculatedColumnFormula>IF(OR(ISTEXT(протокол78ю5[[#This Row],[результат (сек)5]]),протокол78ю5[[#This Row],[результат (сек)5]]=""),"",($J$3*$I$3)/протокол78ю5[[#This Row],[результат (сек)5]])</calculatedColumnFormula>
    </tableColumn>
    <tableColumn id="8" name="результат3 (сек)" dataDxfId="68"/>
    <tableColumn id="11" name="зачетный балл72" dataDxfId="67">
      <calculatedColumnFormula>IF(OR(ISTEXT(протокол78ю5[[#This Row],[результат3 (сек)]]),протокол78ю5[[#This Row],[результат3 (сек)]]=""),"",($L$3*$K$3)/протокол78ю5[[#This Row],[результат3 (сек)]])</calculatedColumnFormula>
    </tableColumn>
    <tableColumn id="16" name="результат (сек)7" dataDxfId="66"/>
    <tableColumn id="18" name="зачетный балл8" dataDxfId="65">
      <calculatedColumnFormula>IF(OR(ISTEXT(протокол78ю5[[#This Row],[результат (сек)7]]),протокол78ю5[[#This Row],[результат (сек)7]]=""),"",($N$3*$M$3)/протокол78ю5[[#This Row],[результат (сек)7]])</calculatedColumnFormula>
    </tableColumn>
    <tableColumn id="19" name="зачетный балл9" dataDxfId="64">
      <calculatedColumnFormula>IF(COUNT(протокол78ю5[[#This Row],[результат]],протокол78ю5[[#This Row],[результат2]],протокол78ю5[[#This Row],[результат (сек)5]],протокол78ю5[[#This Row],[результат3 (сек)]],протокол78ю5[[#This Row],[результат (сек)7]])=4,0,IF(COUNT(протокол78ю5[[#This Row],[результат]],протокол78ю5[[#This Row],[результат2]],протокол78ю5[[#This Row],[результат (сек)5]],протокол78ю5[[#This Row],[результат3 (сек)]],протокол78ю5[[#This Row],[результат (сек)7]])&lt;4,"",SUM(протокол78ю5[[#This Row],[зачетный балл]],протокол78ю5[[#This Row],[зачетный балл3]],протокол78ю5[[#This Row],[зачетный балл6]],протокол78ю5[[#This Row],[зачетный балл72]],протокол78ю5[[#This Row],[зачетный балл8]])))</calculatedColumnFormula>
    </tableColumn>
    <tableColumn id="10" name="Статус" dataDxfId="63">
      <calculatedColumnFormula>IF(протокол78ю5[[#This Row],[зачетный балл9]]="","",IF(протокол78ю5[[#This Row],[зачетный балл9]]&lt;=50,"Участник",IF(протокол78ю5[[#This Row],[зачетный балл9]]=$O$3,"Победитель",IF(COUNTIF([зачетный балл9],"&gt;="&amp;"0")/4&gt;=COUNTIF([зачетный балл9],"&gt;="&amp;протокол78ю5[[#This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2" name="протокол78д3" displayName="протокол78д3" ref="A5:P7" totalsRowShown="0" headerRowDxfId="62" dataDxfId="60" headerRowBorderDxfId="61" tableBorderDxfId="59" totalsRowBorderDxfId="58">
  <autoFilter ref="A5:P7"/>
  <sortState ref="A6:Q90">
    <sortCondition ref="C4:C89"/>
  </sortState>
  <tableColumns count="16">
    <tableColumn id="1" name="№ п/п" dataDxfId="57"/>
    <tableColumn id="2" name="ФИО участника олимпиады" dataDxfId="56"/>
    <tableColumn id="3" name="Образовательная организация" dataDxfId="55"/>
    <tableColumn id="4" name="Класс" dataDxfId="54"/>
    <tableColumn id="5" name="результат" dataDxfId="53"/>
    <tableColumn id="6" name="зачетный балл" dataDxfId="52">
      <calculatedColumnFormula>IF(OR(ISTEXT(протокол78д3[[#This Row],[результат]]),протокол78д3[[#This Row],[результат]]=""),"",($F$3*протокол78д3[[#This Row],[результат]])/$E$3)</calculatedColumnFormula>
    </tableColumn>
    <tableColumn id="7" name="результат2" dataDxfId="51"/>
    <tableColumn id="9" name="зачетный балл3" dataDxfId="50">
      <calculatedColumnFormula>IF(OR(ISTEXT(протокол78д3[[#This Row],[результат2]]),протокол78д3[[#This Row],[результат2]]=""),"",($H$3*протокол78д3[[#This Row],[результат2]])/$G$3)</calculatedColumnFormula>
    </tableColumn>
    <tableColumn id="13" name="результат (сек)5" dataDxfId="49"/>
    <tableColumn id="15" name="зачетный балл6" dataDxfId="48">
      <calculatedColumnFormula>IF(OR(ISTEXT(протокол78д3[[#This Row],[результат (сек)5]]),протокол78д3[[#This Row],[результат (сек)5]]=""),"",($J$3*$I$3)/протокол78д3[[#This Row],[результат (сек)5]])</calculatedColumnFormula>
    </tableColumn>
    <tableColumn id="8" name="результат3 (сек)" dataDxfId="47"/>
    <tableColumn id="11" name="зачетный балл72" dataDxfId="46">
      <calculatedColumnFormula>IF(OR(ISTEXT(протокол78д3[[#This Row],[результат3 (сек)]]),протокол78д3[[#This Row],[результат3 (сек)]]=""),"",($L$3*$K$3)/протокол78д3[[#This Row],[результат3 (сек)]])</calculatedColumnFormula>
    </tableColumn>
    <tableColumn id="16" name="результат (сек)7" dataDxfId="45"/>
    <tableColumn id="18" name="зачетный балл8" dataDxfId="44">
      <calculatedColumnFormula>IF(OR(ISTEXT(протокол78д3[[#This Row],[результат (сек)7]]),протокол78д3[[#This Row],[результат (сек)7]]=""),"",($N$3*$M$3)/протокол78д3[[#This Row],[результат (сек)7]])</calculatedColumnFormula>
    </tableColumn>
    <tableColumn id="19" name="зачетный балл9" dataDxfId="43">
      <calculatedColumnFormula>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(сек)7]])=4,0,IF(COUNT(протокол78д3[[#This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(сек)7]])&lt;4,"",SUM(протокол78д3[[#This Row],[зачетный балл]],протокол78д3[[#This Row],[зачетный балл3]],протокол78д3[[#This Row],[зачетный балл6]],протокол78д3[[#This Row],[зачетный балл72]],протокол78д3[[#This Row],[зачетный балл8]])))</calculatedColumnFormula>
    </tableColumn>
    <tableColumn id="10" name="Статус" dataDxfId="42">
      <calculatedColumnFormula>IF(протокол78д3[[#This Row],[зачетный балл9]]="","",IF(протокол78д3[[#This Row],[зачетный балл9]]&lt;=50,"Участник",IF(протокол78д3[[#This Row],[зачетный балл9]]=$O$3,"Победитель",IF(COUNTIF([зачетный балл9],"&gt;="&amp;"0")/4&gt;=COUNTIF([зачетный балл9],"&gt;="&amp;протокол78д3[[#This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7" name="протокол911ю" displayName="протокол911ю" ref="A5:P14" totalsRowShown="0" headerRowDxfId="41" dataDxfId="39" headerRowBorderDxfId="40" tableBorderDxfId="38" totalsRowBorderDxfId="37">
  <autoFilter ref="A5:P14"/>
  <sortState ref="A6:P14">
    <sortCondition descending="1" ref="O5:O14"/>
  </sortState>
  <tableColumns count="16">
    <tableColumn id="1" name="№ п/п" dataDxfId="36"/>
    <tableColumn id="2" name="ФИО участника олимпиады" dataDxfId="35"/>
    <tableColumn id="3" name="Образовательная организация" dataDxfId="34"/>
    <tableColumn id="4" name="Класс" dataDxfId="33"/>
    <tableColumn id="5" name="результат" dataDxfId="32"/>
    <tableColumn id="6" name="зачетный балл" dataDxfId="31">
      <calculatedColumnFormula>IF(OR(ISTEXT(протокол911ю[[#This Row],[результат]]),протокол911ю[[#This Row],[результат]]=""),"",($F$3*протокол911ю[[#This Row],[результат]])/$E$3)</calculatedColumnFormula>
    </tableColumn>
    <tableColumn id="7" name="результат2" dataDxfId="30"/>
    <tableColumn id="9" name="зачетный балл3" dataDxfId="29">
      <calculatedColumnFormula>IF(OR(ISTEXT(протокол911ю[[#This Row],[результат2]]),протокол911ю[[#This Row],[результат2]]=""),"",($H$3*протокол911ю[[#This Row],[результат2]])/$G$3)</calculatedColumnFormula>
    </tableColumn>
    <tableColumn id="13" name="результат (сек)5" dataDxfId="28"/>
    <tableColumn id="15" name="зачетный балл6" dataDxfId="27">
      <calculatedColumnFormula>IF(OR(ISTEXT(протокол911ю[[#This Row],[результат (сек)5]]),протокол911ю[[#This Row],[результат (сек)5]]=""),"",($J$3*$I$3)/протокол911ю[[#This Row],[результат (сек)5]])</calculatedColumnFormula>
    </tableColumn>
    <tableColumn id="8" name="результат3 (сек)" dataDxfId="26"/>
    <tableColumn id="11" name="зачетный балл72" dataDxfId="25">
      <calculatedColumnFormula>IF(OR(ISTEXT(протокол911ю[[#This Row],[результат3 (сек)]]),протокол911ю[[#This Row],[результат3 (сек)]]=""),"",($L$3*$K$3)/протокол911ю[[#This Row],[результат3 (сек)]])</calculatedColumnFormula>
    </tableColumn>
    <tableColumn id="16" name="результат (сек)7" dataDxfId="24"/>
    <tableColumn id="18" name="зачетный балл8" dataDxfId="23">
      <calculatedColumnFormula>IF(OR(ISTEXT(протокол911ю[[#This Row],[результат (сек)7]]),протокол911ю[[#This Row],[результат (сек)7]]=""),"",($N$3*$M$3)/протокол911ю[[#This Row],[результат (сек)7]])</calculatedColumnFormula>
    </tableColumn>
    <tableColumn id="19" name="зачетный балл9" dataDxfId="22">
      <calculatedColumnFormula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calculatedColumnFormula>
    </tableColumn>
    <tableColumn id="10" name="Статус" dataDxfId="21">
      <calculatedColumnFormula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3" name="протокол911д4" displayName="протокол911д4" ref="A5:P6" totalsRowShown="0" headerRowDxfId="20" dataDxfId="18" headerRowBorderDxfId="19" tableBorderDxfId="17" totalsRowBorderDxfId="16">
  <autoFilter ref="A5:P6"/>
  <sortState ref="A6:Q90">
    <sortCondition ref="C4:C89"/>
  </sortState>
  <tableColumns count="16">
    <tableColumn id="1" name="№ п/п" dataDxfId="15"/>
    <tableColumn id="2" name="ФИО участника олимпиады" dataDxfId="14"/>
    <tableColumn id="3" name="Образовательная организация" dataDxfId="13"/>
    <tableColumn id="4" name="Класс" dataDxfId="12"/>
    <tableColumn id="5" name="результат" dataDxfId="11"/>
    <tableColumn id="6" name="зачетный балл" dataDxfId="10">
      <calculatedColumnFormula>IF(OR(ISTEXT(протокол911д4[[#This Row],[результат]]),протокол911д4[[#This Row],[результат]]=""),"",($F$3*протокол911д4[[#This Row],[результат]])/$E$3)</calculatedColumnFormula>
    </tableColumn>
    <tableColumn id="7" name="результат2" dataDxfId="9"/>
    <tableColumn id="9" name="зачетный балл3" dataDxfId="8">
      <calculatedColumnFormula>IF(OR(ISTEXT(протокол911д4[[#This Row],[результат2]]),протокол911д4[[#This Row],[результат2]]=""),"",($H$3*протокол911д4[[#This Row],[результат2]])/$G$3)</calculatedColumnFormula>
    </tableColumn>
    <tableColumn id="13" name="результат (сек)5" dataDxfId="7"/>
    <tableColumn id="15" name="зачетный балл6" dataDxfId="6">
      <calculatedColumnFormula>IF(OR(ISTEXT(протокол911д4[[#This Row],[результат (сек)5]]),протокол911д4[[#This Row],[результат (сек)5]]=""),"",($J$3*$I$3)/протокол911д4[[#This Row],[результат (сек)5]])</calculatedColumnFormula>
    </tableColumn>
    <tableColumn id="8" name="результат3 (сек)" dataDxfId="5"/>
    <tableColumn id="11" name="зачетный балл72" dataDxfId="4">
      <calculatedColumnFormula>IF(OR(ISTEXT(протокол911д4[[#This Row],[результат3 (сек)]]),протокол911д4[[#This Row],[результат3 (сек)]]=""),"",($L$3*$K$3)/протокол911д4[[#This Row],[результат3 (сек)]])</calculatedColumnFormula>
    </tableColumn>
    <tableColumn id="16" name="результат (сек)7" dataDxfId="3"/>
    <tableColumn id="18" name="зачетный балл8" dataDxfId="2">
      <calculatedColumnFormula>IF(OR(ISTEXT(протокол911д4[[#This Row],[результат (сек)7]]),протокол911д4[[#This Row],[результат (сек)7]]=""),"",($N$3*$M$3)/протокол911д4[[#This Row],[результат (сек)7]])</calculatedColumnFormula>
    </tableColumn>
    <tableColumn id="19" name="зачетный балл9" dataDxfId="1">
      <calculatedColumnFormula>IF(COUNT(протокол911д4[[#This Row],[результат]],протокол911д4[[#This Row],[результат2]],протокол911д4[[#This Row],[результат (сек)5]],протокол911д4[[#This Row],[результат3 (сек)]],протокол911д4[[#This Row],[результат (сек)7]])=4,0,IF(COUNT(протокол911д4[[#This Row],[результат]],протокол911д4[[#This Row],[результат2]],протокол911д4[[#This Row],[результат (сек)5]],протокол911д4[[#This Row],[результат3 (сек)]],протокол911д4[[#This Row],[результат (сек)7]])&lt;4,"",SUM(протокол911д4[[#This Row],[зачетный балл]],протокол911д4[[#This Row],[зачетный балл3]],протокол911д4[[#This Row],[зачетный балл6]],протокол911д4[[#This Row],[зачетный балл72]],протокол911д4[[#This Row],[зачетный балл8]])))</calculatedColumnFormula>
    </tableColumn>
    <tableColumn id="10" name="Статус" dataDxfId="0">
      <calculatedColumnFormula>IF(протокол911д4[[#This Row],[зачетный балл9]]="","",IF(протокол911д4[[#This Row],[зачетный балл9]]&lt;=50,"Участник",IF(протокол911д4[[#This Row],[зачетный балл9]]=$O$3,"Победитель",IF(COUNTIF([зачетный балл9],"&gt;="&amp;"0")/4&gt;=COUNTIF([зачетный балл9],"&gt;="&amp;протокол911д4[[#This Row],[зачетный балл9]]),"Призер","Участник"))))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1"/>
  <sheetViews>
    <sheetView view="pageLayout" topLeftCell="B10" zoomScale="130" zoomScaleNormal="130" zoomScalePageLayoutView="130" workbookViewId="0">
      <selection activeCell="B25" sqref="B25:B27"/>
    </sheetView>
  </sheetViews>
  <sheetFormatPr defaultRowHeight="15"/>
  <cols>
    <col min="1" max="1" width="11.140625" style="10" customWidth="1"/>
    <col min="2" max="2" width="153" customWidth="1"/>
  </cols>
  <sheetData>
    <row r="2" spans="1:2" ht="87.75" customHeight="1">
      <c r="A2" s="57" t="s">
        <v>49</v>
      </c>
      <c r="B2" s="50" t="s">
        <v>32</v>
      </c>
    </row>
    <row r="4" spans="1:2" ht="67.5">
      <c r="A4" s="52"/>
      <c r="B4" s="53" t="s">
        <v>33</v>
      </c>
    </row>
    <row r="5" spans="1:2" ht="23.25">
      <c r="A5" s="52"/>
      <c r="B5" s="54"/>
    </row>
    <row r="6" spans="1:2" ht="23.25">
      <c r="A6" s="52">
        <v>1</v>
      </c>
      <c r="B6" s="55" t="s">
        <v>34</v>
      </c>
    </row>
    <row r="7" spans="1:2" ht="116.25">
      <c r="A7" s="52"/>
      <c r="B7" s="55" t="s">
        <v>44</v>
      </c>
    </row>
    <row r="8" spans="1:2" ht="46.5">
      <c r="A8" s="52">
        <v>2</v>
      </c>
      <c r="B8" s="55" t="s">
        <v>50</v>
      </c>
    </row>
    <row r="9" spans="1:2" ht="46.5">
      <c r="A9" s="52"/>
      <c r="B9" s="55" t="s">
        <v>46</v>
      </c>
    </row>
    <row r="10" spans="1:2" ht="46.5">
      <c r="A10" s="52"/>
      <c r="B10" s="55" t="s">
        <v>35</v>
      </c>
    </row>
    <row r="11" spans="1:2" ht="46.5">
      <c r="A11" s="52" t="s">
        <v>36</v>
      </c>
      <c r="B11" s="55" t="s">
        <v>37</v>
      </c>
    </row>
    <row r="12" spans="1:2" ht="46.5">
      <c r="A12" s="52"/>
      <c r="B12" s="55" t="s">
        <v>38</v>
      </c>
    </row>
    <row r="13" spans="1:2" ht="23.25">
      <c r="A13" s="52"/>
      <c r="B13" s="55" t="s">
        <v>39</v>
      </c>
    </row>
    <row r="14" spans="1:2" ht="46.5">
      <c r="A14" s="52"/>
      <c r="B14" s="55" t="s">
        <v>40</v>
      </c>
    </row>
    <row r="15" spans="1:2" ht="23.25">
      <c r="A15" s="52">
        <v>3</v>
      </c>
      <c r="B15" s="55" t="s">
        <v>41</v>
      </c>
    </row>
    <row r="16" spans="1:2" ht="137.25" customHeight="1">
      <c r="A16" s="52"/>
      <c r="B16" s="54" t="s">
        <v>42</v>
      </c>
    </row>
    <row r="17" spans="1:2" ht="163.5" customHeight="1">
      <c r="A17" s="52"/>
      <c r="B17" s="54" t="s">
        <v>43</v>
      </c>
    </row>
    <row r="18" spans="1:2" ht="46.5" customHeight="1">
      <c r="A18" s="52" t="s">
        <v>36</v>
      </c>
      <c r="B18" s="55" t="s">
        <v>47</v>
      </c>
    </row>
    <row r="19" spans="1:2" ht="23.25">
      <c r="A19" s="52">
        <v>4</v>
      </c>
      <c r="B19" s="55" t="s">
        <v>48</v>
      </c>
    </row>
    <row r="20" spans="1:2" ht="23.25">
      <c r="A20" s="51">
        <v>5</v>
      </c>
      <c r="B20" s="55" t="s">
        <v>45</v>
      </c>
    </row>
    <row r="21" spans="1:2" ht="180">
      <c r="A21" s="57" t="s">
        <v>49</v>
      </c>
      <c r="B21" s="56" t="s">
        <v>51</v>
      </c>
    </row>
  </sheetData>
  <pageMargins left="0.203125" right="0.16145833333333334" top="0.20312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view="pageLayout" topLeftCell="A7" workbookViewId="0">
      <selection activeCell="C18" sqref="C18:H28"/>
    </sheetView>
  </sheetViews>
  <sheetFormatPr defaultRowHeight="15"/>
  <cols>
    <col min="1" max="1" width="6" customWidth="1"/>
    <col min="2" max="2" width="45.140625" customWidth="1"/>
    <col min="3" max="3" width="20.85546875" customWidth="1"/>
    <col min="4" max="4" width="7.85546875" style="5" customWidth="1"/>
    <col min="5" max="5" width="12.7109375" style="5" customWidth="1"/>
    <col min="6" max="6" width="11.28515625" style="5" customWidth="1"/>
    <col min="7" max="7" width="13" style="5" customWidth="1"/>
    <col min="8" max="8" width="12" style="5" customWidth="1"/>
    <col min="9" max="9" width="13.7109375" style="5" customWidth="1"/>
    <col min="10" max="10" width="11.42578125" style="5" customWidth="1"/>
    <col min="11" max="11" width="12.42578125" style="9" customWidth="1"/>
    <col min="12" max="12" width="11.42578125" style="9" customWidth="1"/>
    <col min="13" max="13" width="13" style="5" customWidth="1"/>
    <col min="14" max="14" width="13.28515625" style="5" customWidth="1"/>
    <col min="15" max="15" width="14.85546875" style="5" customWidth="1"/>
    <col min="16" max="16" width="17.140625" customWidth="1"/>
  </cols>
  <sheetData>
    <row r="1" spans="1:16" ht="64.5" customHeight="1">
      <c r="A1" s="103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33.75" customHeight="1" thickBot="1">
      <c r="A2" s="1" t="s">
        <v>8</v>
      </c>
      <c r="C2" s="10" t="s">
        <v>29</v>
      </c>
      <c r="G2" s="107" t="s">
        <v>9</v>
      </c>
      <c r="H2" s="107"/>
      <c r="I2" s="107"/>
      <c r="J2" s="107"/>
      <c r="K2" s="107"/>
      <c r="L2" s="107"/>
      <c r="M2" s="107"/>
      <c r="N2" s="107"/>
    </row>
    <row r="3" spans="1:16" ht="33.75" hidden="1" customHeight="1" thickBot="1">
      <c r="A3" s="1"/>
      <c r="D3" s="9"/>
      <c r="E3" s="9">
        <v>26</v>
      </c>
      <c r="F3" s="9">
        <v>30</v>
      </c>
      <c r="G3" s="11">
        <f>MAX(протокол56м[результат2])</f>
        <v>8.9</v>
      </c>
      <c r="H3" s="11">
        <v>20</v>
      </c>
      <c r="I3" s="11">
        <f>MIN(протокол56м[результат (сек)5])</f>
        <v>217</v>
      </c>
      <c r="J3" s="11">
        <v>20</v>
      </c>
      <c r="K3" s="28">
        <f>MIN(протокол56м[результат3 (сек)])</f>
        <v>32</v>
      </c>
      <c r="L3" s="29">
        <v>15</v>
      </c>
      <c r="M3" s="11">
        <f>MIN(протокол56м[результат (сек)7])</f>
        <v>68</v>
      </c>
      <c r="N3" s="11">
        <v>15</v>
      </c>
      <c r="O3" s="9">
        <f>MAX(протокол56м[зачетный балл9])</f>
        <v>83.389830508474574</v>
      </c>
    </row>
    <row r="4" spans="1:16" ht="46.5" customHeight="1" thickBot="1">
      <c r="B4" t="s">
        <v>28</v>
      </c>
      <c r="E4" s="104" t="s">
        <v>10</v>
      </c>
      <c r="F4" s="106"/>
      <c r="G4" s="104" t="s">
        <v>25</v>
      </c>
      <c r="H4" s="105"/>
      <c r="I4" s="104" t="s">
        <v>24</v>
      </c>
      <c r="J4" s="105"/>
      <c r="K4" s="108" t="s">
        <v>23</v>
      </c>
      <c r="L4" s="109"/>
      <c r="M4" s="104" t="s">
        <v>14</v>
      </c>
      <c r="N4" s="105"/>
      <c r="O4" s="30" t="s">
        <v>12</v>
      </c>
    </row>
    <row r="5" spans="1:16" ht="63" customHeight="1">
      <c r="A5" s="4" t="s">
        <v>2</v>
      </c>
      <c r="B5" s="3" t="s">
        <v>3</v>
      </c>
      <c r="C5" s="3" t="s">
        <v>0</v>
      </c>
      <c r="D5" s="17" t="s">
        <v>1</v>
      </c>
      <c r="E5" s="12" t="s">
        <v>4</v>
      </c>
      <c r="F5" s="13" t="s">
        <v>5</v>
      </c>
      <c r="G5" s="12" t="s">
        <v>16</v>
      </c>
      <c r="H5" s="13" t="s">
        <v>17</v>
      </c>
      <c r="I5" s="12" t="s">
        <v>18</v>
      </c>
      <c r="J5" s="13" t="s">
        <v>19</v>
      </c>
      <c r="K5" s="12" t="s">
        <v>26</v>
      </c>
      <c r="L5" s="13" t="s">
        <v>27</v>
      </c>
      <c r="M5" s="12" t="s">
        <v>20</v>
      </c>
      <c r="N5" s="13" t="s">
        <v>21</v>
      </c>
      <c r="O5" s="23" t="s">
        <v>22</v>
      </c>
      <c r="P5" s="25" t="s">
        <v>13</v>
      </c>
    </row>
    <row r="6" spans="1:16" ht="15.75">
      <c r="A6" s="60">
        <v>1</v>
      </c>
      <c r="B6" s="82" t="s">
        <v>68</v>
      </c>
      <c r="C6" s="61" t="s">
        <v>61</v>
      </c>
      <c r="D6" s="86" t="s">
        <v>76</v>
      </c>
      <c r="E6" s="76">
        <v>13</v>
      </c>
      <c r="F6" s="15">
        <f>IF(OR(ISTEXT(протокол56м[[#This Row],[результат]]),протокол56м[[#This Row],[результат]]=""),"",($F$3*протокол56м[[#This Row],[результат]])/$E$3)</f>
        <v>15</v>
      </c>
      <c r="G6" s="62">
        <v>8.9</v>
      </c>
      <c r="H6" s="15">
        <f>IF(OR(ISTEXT(протокол56м[[#This Row],[результат2]]),протокол56м[[#This Row],[результат2]]=""),"",($H$3*протокол56м[[#This Row],[результат2]])/$G$3)</f>
        <v>20</v>
      </c>
      <c r="I6" s="62">
        <v>236</v>
      </c>
      <c r="J6" s="21">
        <f>IF(OR(ISTEXT(протокол56м[[#This Row],[результат (сек)5]]),протокол56м[[#This Row],[результат (сек)5]]=""),"",($J$3*$I$3)/протокол56м[[#This Row],[результат (сек)5]])</f>
        <v>18.389830508474578</v>
      </c>
      <c r="K6" s="22">
        <v>32</v>
      </c>
      <c r="L6" s="21">
        <f>IF(OR(ISTEXT(протокол56м[[#This Row],[результат3 (сек)]]),протокол56м[[#This Row],[результат3 (сек)]]=""),"",($L$3*$K$3)/протокол56м[[#This Row],[результат3 (сек)]])</f>
        <v>15</v>
      </c>
      <c r="M6" s="20">
        <v>68</v>
      </c>
      <c r="N6" s="21">
        <f>IF(OR(ISTEXT(протокол56м[[#This Row],[результат (сек)7]]),протокол56м[[#This Row],[результат (сек)7]]=""),"",($N$3*$M$3)/протокол56м[[#This Row],[результат (сек)7]])</f>
        <v>15</v>
      </c>
      <c r="O6" s="24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83.389830508474574</v>
      </c>
      <c r="P6" s="26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Победитель</v>
      </c>
    </row>
    <row r="7" spans="1:16" ht="15.75">
      <c r="A7" s="60">
        <v>2</v>
      </c>
      <c r="B7" s="82" t="s">
        <v>73</v>
      </c>
      <c r="C7" s="61" t="s">
        <v>61</v>
      </c>
      <c r="D7" s="86" t="s">
        <v>66</v>
      </c>
      <c r="E7" s="77">
        <v>15</v>
      </c>
      <c r="F7" s="63">
        <f>IF(OR(ISTEXT(протокол56м[[#This Row],[результат]]),протокол56м[[#This Row],[результат]]=""),"",($F$3*протокол56м[[#This Row],[результат]])/$E$3)</f>
        <v>17.307692307692307</v>
      </c>
      <c r="G7" s="62">
        <v>8.6999999999999993</v>
      </c>
      <c r="H7" s="63">
        <f>IF(OR(ISTEXT(протокол56м[[#This Row],[результат2]]),протокол56м[[#This Row],[результат2]]=""),"",($H$3*протокол56м[[#This Row],[результат2]])/$G$3)</f>
        <v>19.55056179775281</v>
      </c>
      <c r="I7" s="62">
        <v>217</v>
      </c>
      <c r="J7" s="65">
        <f>IF(OR(ISTEXT(протокол56м[[#This Row],[результат (сек)5]]),протокол56м[[#This Row],[результат (сек)5]]=""),"",($J$3*$I$3)/протокол56м[[#This Row],[результат (сек)5]])</f>
        <v>20</v>
      </c>
      <c r="K7" s="100">
        <v>42</v>
      </c>
      <c r="L7" s="65">
        <f>IF(OR(ISTEXT(протокол56м[[#This Row],[результат3 (сек)]]),протокол56м[[#This Row],[результат3 (сек)]]=""),"",($L$3*$K$3)/протокол56м[[#This Row],[результат3 (сек)]])</f>
        <v>11.428571428571429</v>
      </c>
      <c r="M7" s="64">
        <v>78</v>
      </c>
      <c r="N7" s="65">
        <f>IF(OR(ISTEXT(протокол56м[[#This Row],[результат (сек)7]]),протокол56м[[#This Row],[результат (сек)7]]=""),"",($N$3*$M$3)/протокол56м[[#This Row],[результат (сек)7]])</f>
        <v>13.076923076923077</v>
      </c>
      <c r="O7" s="68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81.363748610939624</v>
      </c>
      <c r="P7" s="69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Призер</v>
      </c>
    </row>
    <row r="8" spans="1:16" ht="15.75">
      <c r="A8" s="60">
        <v>3</v>
      </c>
      <c r="B8" s="82" t="s">
        <v>72</v>
      </c>
      <c r="C8" s="61" t="s">
        <v>61</v>
      </c>
      <c r="D8" s="86" t="s">
        <v>76</v>
      </c>
      <c r="E8" s="77">
        <v>11</v>
      </c>
      <c r="F8" s="63">
        <f>IF(OR(ISTEXT(протокол56м[[#This Row],[результат]]),протокол56м[[#This Row],[результат]]=""),"",($F$3*протокол56м[[#This Row],[результат]])/$E$3)</f>
        <v>12.692307692307692</v>
      </c>
      <c r="G8" s="62">
        <v>8.1</v>
      </c>
      <c r="H8" s="63">
        <f>IF(OR(ISTEXT(протокол56м[[#This Row],[результат2]]),протокол56м[[#This Row],[результат2]]=""),"",($H$3*протокол56м[[#This Row],[результат2]])/$G$3)</f>
        <v>18.202247191011235</v>
      </c>
      <c r="I8" s="62">
        <v>251</v>
      </c>
      <c r="J8" s="65">
        <f>IF(OR(ISTEXT(протокол56м[[#This Row],[результат (сек)5]]),протокол56м[[#This Row],[результат (сек)5]]=""),"",($J$3*$I$3)/протокол56м[[#This Row],[результат (сек)5]])</f>
        <v>17.290836653386453</v>
      </c>
      <c r="K8" s="100">
        <v>43</v>
      </c>
      <c r="L8" s="65">
        <f>IF(OR(ISTEXT(протокол56м[[#This Row],[результат3 (сек)]]),протокол56м[[#This Row],[результат3 (сек)]]=""),"",($L$3*$K$3)/протокол56м[[#This Row],[результат3 (сек)]])</f>
        <v>11.162790697674419</v>
      </c>
      <c r="M8" s="64">
        <v>72</v>
      </c>
      <c r="N8" s="65">
        <f>IF(OR(ISTEXT(протокол56м[[#This Row],[результат (сек)7]]),протокол56м[[#This Row],[результат (сек)7]]=""),"",($N$3*$M$3)/протокол56м[[#This Row],[результат (сек)7]])</f>
        <v>14.166666666666666</v>
      </c>
      <c r="O8" s="68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73.514848901046463</v>
      </c>
      <c r="P8" s="69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9" spans="1:16" ht="15.75">
      <c r="A9" s="60">
        <v>4</v>
      </c>
      <c r="B9" s="82" t="s">
        <v>69</v>
      </c>
      <c r="C9" s="61" t="s">
        <v>61</v>
      </c>
      <c r="D9" s="86" t="s">
        <v>63</v>
      </c>
      <c r="E9" s="77">
        <v>7</v>
      </c>
      <c r="F9" s="15">
        <f>IF(OR(ISTEXT(протокол56м[[#This Row],[результат]]),протокол56м[[#This Row],[результат]]=""),"",($F$3*протокол56м[[#This Row],[результат]])/$E$3)</f>
        <v>8.0769230769230766</v>
      </c>
      <c r="G9" s="62">
        <v>6.8</v>
      </c>
      <c r="H9" s="15">
        <f>IF(OR(ISTEXT(протокол56м[[#This Row],[результат2]]),протокол56м[[#This Row],[результат2]]=""),"",($H$3*протокол56м[[#This Row],[результат2]])/$G$3)</f>
        <v>15.280898876404494</v>
      </c>
      <c r="I9" s="62">
        <v>220</v>
      </c>
      <c r="J9" s="21">
        <f>IF(OR(ISTEXT(протокол56м[[#This Row],[результат (сек)5]]),протокол56м[[#This Row],[результат (сек)5]]=""),"",($J$3*$I$3)/протокол56м[[#This Row],[результат (сек)5]])</f>
        <v>19.727272727272727</v>
      </c>
      <c r="K9" s="22">
        <v>36</v>
      </c>
      <c r="L9" s="21">
        <f>IF(OR(ISTEXT(протокол56м[[#This Row],[результат3 (сек)]]),протокол56м[[#This Row],[результат3 (сек)]]=""),"",($L$3*$K$3)/протокол56м[[#This Row],[результат3 (сек)]])</f>
        <v>13.333333333333334</v>
      </c>
      <c r="M9" s="20">
        <v>72</v>
      </c>
      <c r="N9" s="21">
        <f>IF(OR(ISTEXT(протокол56м[[#This Row],[результат (сек)7]]),протокол56м[[#This Row],[результат (сек)7]]=""),"",($N$3*$M$3)/протокол56м[[#This Row],[результат (сек)7]])</f>
        <v>14.166666666666666</v>
      </c>
      <c r="O9" s="24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70.585094680600307</v>
      </c>
      <c r="P9" s="26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0" spans="1:16" ht="15.75">
      <c r="A10" s="70">
        <v>5</v>
      </c>
      <c r="B10" s="58" t="s">
        <v>74</v>
      </c>
      <c r="C10" s="71" t="s">
        <v>61</v>
      </c>
      <c r="D10" s="73" t="s">
        <v>62</v>
      </c>
      <c r="E10" s="77">
        <v>10</v>
      </c>
      <c r="F10" s="63">
        <f>IF(OR(ISTEXT(протокол56м[[#This Row],[результат]]),протокол56м[[#This Row],[результат]]=""),"",($F$3*протокол56м[[#This Row],[результат]])/$E$3)</f>
        <v>11.538461538461538</v>
      </c>
      <c r="G10" s="80">
        <v>8.1</v>
      </c>
      <c r="H10" s="63">
        <f>IF(OR(ISTEXT(протокол56м[[#This Row],[результат2]]),протокол56м[[#This Row],[результат2]]=""),"",($H$3*протокол56м[[#This Row],[результат2]])/$G$3)</f>
        <v>18.202247191011235</v>
      </c>
      <c r="I10" s="80">
        <v>252</v>
      </c>
      <c r="J10" s="65">
        <f>IF(OR(ISTEXT(протокол56м[[#This Row],[результат (сек)5]]),протокол56м[[#This Row],[результат (сек)5]]=""),"",($J$3*$I$3)/протокол56м[[#This Row],[результат (сек)5]])</f>
        <v>17.222222222222221</v>
      </c>
      <c r="K10" s="66">
        <v>50</v>
      </c>
      <c r="L10" s="67">
        <f>IF(OR(ISTEXT(протокол56м[[#This Row],[результат3 (сек)]]),протокол56м[[#This Row],[результат3 (сек)]]=""),"",($L$3*$K$3)/протокол56м[[#This Row],[результат3 (сек)]])</f>
        <v>9.6</v>
      </c>
      <c r="M10" s="64">
        <v>70</v>
      </c>
      <c r="N10" s="65">
        <f>IF(OR(ISTEXT(протокол56м[[#This Row],[результат (сек)7]]),протокол56м[[#This Row],[результат (сек)7]]=""),"",($N$3*$M$3)/протокол56м[[#This Row],[результат (сек)7]])</f>
        <v>14.571428571428571</v>
      </c>
      <c r="O10" s="68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71.134359523123564</v>
      </c>
      <c r="P10" s="69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1" spans="1:16" ht="18.75">
      <c r="A11" s="70">
        <v>6</v>
      </c>
      <c r="B11" s="58" t="s">
        <v>70</v>
      </c>
      <c r="C11" s="71" t="s">
        <v>61</v>
      </c>
      <c r="D11" s="75" t="s">
        <v>62</v>
      </c>
      <c r="E11" s="77">
        <v>9</v>
      </c>
      <c r="F11" s="15">
        <f>IF(OR(ISTEXT(протокол56м[[#This Row],[результат]]),протокол56м[[#This Row],[результат]]=""),"",($F$3*протокол56м[[#This Row],[результат]])/$E$3)</f>
        <v>10.384615384615385</v>
      </c>
      <c r="G11" s="80">
        <v>7.5</v>
      </c>
      <c r="H11" s="15">
        <f>IF(OR(ISTEXT(протокол56м[[#This Row],[результат2]]),протокол56м[[#This Row],[результат2]]=""),"",($H$3*протокол56м[[#This Row],[результат2]])/$G$3)</f>
        <v>16.853932584269661</v>
      </c>
      <c r="I11" s="80">
        <v>265</v>
      </c>
      <c r="J11" s="21">
        <f>IF(OR(ISTEXT(протокол56м[[#This Row],[результат (сек)5]]),протокол56м[[#This Row],[результат (сек)5]]=""),"",($J$3*$I$3)/протокол56м[[#This Row],[результат (сек)5]])</f>
        <v>16.377358490566039</v>
      </c>
      <c r="K11" s="101">
        <v>55</v>
      </c>
      <c r="L11" s="102">
        <f>IF(OR(ISTEXT(протокол56м[[#This Row],[результат3 (сек)]]),протокол56м[[#This Row],[результат3 (сек)]]=""),"",($L$3*$K$3)/протокол56м[[#This Row],[результат3 (сек)]])</f>
        <v>8.7272727272727266</v>
      </c>
      <c r="M11" s="16">
        <v>81</v>
      </c>
      <c r="N11" s="21">
        <f>IF(OR(ISTEXT(протокол56м[[#This Row],[результат (сек)7]]),протокол56м[[#This Row],[результат (сек)7]]=""),"",($N$3*$M$3)/протокол56м[[#This Row],[результат (сек)7]])</f>
        <v>12.592592592592593</v>
      </c>
      <c r="O11" s="24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64.935771779316397</v>
      </c>
      <c r="P11" s="27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2" spans="1:16" ht="15.75">
      <c r="A12" s="70">
        <v>7</v>
      </c>
      <c r="B12" s="59" t="s">
        <v>67</v>
      </c>
      <c r="C12" s="71" t="s">
        <v>61</v>
      </c>
      <c r="D12" s="98" t="s">
        <v>62</v>
      </c>
      <c r="E12" s="77">
        <v>12</v>
      </c>
      <c r="F12" s="15">
        <f>IF(OR(ISTEXT(протокол56м[[#This Row],[результат]]),протокол56м[[#This Row],[результат]]=""),"",($F$3*протокол56м[[#This Row],[результат]])/$E$3)</f>
        <v>13.846153846153847</v>
      </c>
      <c r="G12" s="99">
        <v>5.3</v>
      </c>
      <c r="H12" s="15">
        <f>IF(OR(ISTEXT(протокол56м[[#This Row],[результат2]]),протокол56м[[#This Row],[результат2]]=""),"",($H$3*протокол56м[[#This Row],[результат2]])/$G$3)</f>
        <v>11.910112359550562</v>
      </c>
      <c r="I12" s="99">
        <v>294</v>
      </c>
      <c r="J12" s="21">
        <f>IF(OR(ISTEXT(протокол56м[[#This Row],[результат (сек)5]]),протокол56м[[#This Row],[результат (сек)5]]=""),"",($J$3*$I$3)/протокол56м[[#This Row],[результат (сек)5]])</f>
        <v>14.761904761904763</v>
      </c>
      <c r="K12" s="101">
        <v>59</v>
      </c>
      <c r="L12" s="102">
        <f>IF(OR(ISTEXT(протокол56м[[#This Row],[результат3 (сек)]]),протокол56м[[#This Row],[результат3 (сек)]]=""),"",($L$3*$K$3)/протокол56м[[#This Row],[результат3 (сек)]])</f>
        <v>8.1355932203389827</v>
      </c>
      <c r="M12" s="20">
        <v>120</v>
      </c>
      <c r="N12" s="21">
        <f>IF(OR(ISTEXT(протокол56м[[#This Row],[результат (сек)7]]),протокол56м[[#This Row],[результат (сек)7]]=""),"",($N$3*$M$3)/протокол56м[[#This Row],[результат (сек)7]])</f>
        <v>8.5</v>
      </c>
      <c r="O12" s="24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57.153764187948148</v>
      </c>
      <c r="P12" s="26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3" spans="1:16" ht="15.75">
      <c r="A13" s="84">
        <v>8</v>
      </c>
      <c r="B13" s="83" t="s">
        <v>71</v>
      </c>
      <c r="C13" s="85" t="s">
        <v>61</v>
      </c>
      <c r="D13" s="87" t="s">
        <v>63</v>
      </c>
      <c r="E13" s="77">
        <v>8</v>
      </c>
      <c r="F13" s="63">
        <f>IF(OR(ISTEXT(протокол56м[[#This Row],[результат]]),протокол56м[[#This Row],[результат]]=""),"",($F$3*протокол56м[[#This Row],[результат]])/$E$3)</f>
        <v>9.2307692307692299</v>
      </c>
      <c r="G13" s="88">
        <v>3.8</v>
      </c>
      <c r="H13" s="63">
        <f>IF(OR(ISTEXT(протокол56м[[#This Row],[результат2]]),протокол56м[[#This Row],[результат2]]=""),"",($H$3*протокол56м[[#This Row],[результат2]])/$G$3)</f>
        <v>8.5393258426966288</v>
      </c>
      <c r="I13" s="88">
        <v>226</v>
      </c>
      <c r="J13" s="65">
        <f>IF(OR(ISTEXT(протокол56м[[#This Row],[результат (сек)5]]),протокол56м[[#This Row],[результат (сек)5]]=""),"",($J$3*$I$3)/протокол56м[[#This Row],[результат (сек)5]])</f>
        <v>19.20353982300885</v>
      </c>
      <c r="K13" s="66">
        <v>63</v>
      </c>
      <c r="L13" s="67">
        <f>IF(OR(ISTEXT(протокол56м[[#This Row],[результат3 (сек)]]),протокол56м[[#This Row],[результат3 (сек)]]=""),"",($L$3*$K$3)/протокол56м[[#This Row],[результат3 (сек)]])</f>
        <v>7.6190476190476186</v>
      </c>
      <c r="M13" s="64">
        <v>97</v>
      </c>
      <c r="N13" s="65">
        <f>IF(OR(ISTEXT(протокол56м[[#This Row],[результат (сек)7]]),протокол56м[[#This Row],[результат (сек)7]]=""),"",($N$3*$M$3)/протокол56м[[#This Row],[результат (сек)7]])</f>
        <v>10.515463917525773</v>
      </c>
      <c r="O13" s="68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55.108146433048098</v>
      </c>
      <c r="P13" s="69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4" spans="1:16" ht="15.75">
      <c r="A14" s="70">
        <v>9</v>
      </c>
      <c r="B14" s="58" t="s">
        <v>75</v>
      </c>
      <c r="C14" s="71" t="s">
        <v>61</v>
      </c>
      <c r="D14" s="73" t="s">
        <v>63</v>
      </c>
      <c r="E14" s="78">
        <v>2</v>
      </c>
      <c r="F14" s="63">
        <f>IF(OR(ISTEXT(протокол56м[[#This Row],[результат]]),протокол56м[[#This Row],[результат]]=""),"",($F$3*протокол56м[[#This Row],[результат]])/$E$3)</f>
        <v>2.3076923076923075</v>
      </c>
      <c r="G14" s="80">
        <v>4.7</v>
      </c>
      <c r="H14" s="63">
        <f>IF(OR(ISTEXT(протокол56м[[#This Row],[результат2]]),протокол56м[[#This Row],[результат2]]=""),"",($H$3*протокол56м[[#This Row],[результат2]])/$G$3)</f>
        <v>10.561797752808989</v>
      </c>
      <c r="I14" s="80">
        <v>239</v>
      </c>
      <c r="J14" s="65">
        <f>IF(OR(ISTEXT(протокол56м[[#This Row],[результат (сек)5]]),протокол56м[[#This Row],[результат (сек)5]]=""),"",($J$3*$I$3)/протокол56м[[#This Row],[результат (сек)5]])</f>
        <v>18.15899581589958</v>
      </c>
      <c r="K14" s="66">
        <v>58</v>
      </c>
      <c r="L14" s="67">
        <f>IF(OR(ISTEXT(протокол56м[[#This Row],[результат3 (сек)]]),протокол56м[[#This Row],[результат3 (сек)]]=""),"",($L$3*$K$3)/протокол56м[[#This Row],[результат3 (сек)]])</f>
        <v>8.2758620689655178</v>
      </c>
      <c r="M14" s="64">
        <v>115</v>
      </c>
      <c r="N14" s="65">
        <f>IF(OR(ISTEXT(протокол56м[[#This Row],[результат (сек)7]]),протокол56м[[#This Row],[результат (сек)7]]=""),"",($N$3*$M$3)/протокол56м[[#This Row],[результат (сек)7]])</f>
        <v>8.8695652173913047</v>
      </c>
      <c r="O14" s="68">
        <f>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(сек)7]])=4,0,IF(COUNT(протокол56м[[#This Row],[результат]],протокол56м[[#This Row],[результат2]],протокол56м[[#This Row],[результат (сек)5]],протокол56м[[#This Row],[результат3 (сек)]],протокол56м[[#This Row],[результат (сек)7]])&lt;4,"",SUM(протокол56м[[#This Row],[зачетный балл]],протокол56м[[#This Row],[зачетный балл3]],протокол56м[[#This Row],[зачетный балл6]],протокол56м[[#This Row],[зачетный балл72]],протокол56м[[#This Row],[зачетный балл8]])))</f>
        <v>48.1739131627577</v>
      </c>
      <c r="P14" s="69" t="str">
        <f>IF(протокол56м[[#This Row],[зачетный балл9]]="","",IF(протокол56м[[#This Row],[зачетный балл9]]&lt;=50,"Участник",IF(протокол56м[[#This Row],[зачетный балл9]]=$O$3,"Победитель",IF(COUNTIF([зачетный балл9],"&gt;="&amp;"0")/4&gt;=COUNTIF([зачетный балл9],"&gt;="&amp;протокол56м[[#This Row],[зачетный балл9]]),"Призер","Участник"))))</f>
        <v>Участник</v>
      </c>
    </row>
    <row r="16" spans="1:16" ht="15.75">
      <c r="A16" s="89"/>
    </row>
    <row r="18" spans="1:7" ht="15.75">
      <c r="A18" s="89"/>
      <c r="B18" s="89"/>
    </row>
    <row r="19" spans="1:7" ht="15.75">
      <c r="A19" s="89"/>
      <c r="B19" s="89"/>
      <c r="C19" t="s">
        <v>102</v>
      </c>
      <c r="G19" s="10" t="s">
        <v>104</v>
      </c>
    </row>
    <row r="20" spans="1:7" ht="15.75">
      <c r="A20" s="89"/>
      <c r="B20" s="89"/>
    </row>
    <row r="21" spans="1:7" ht="15.75">
      <c r="A21" s="89"/>
      <c r="B21" s="89"/>
      <c r="C21" t="s">
        <v>103</v>
      </c>
      <c r="G21" s="10" t="s">
        <v>105</v>
      </c>
    </row>
    <row r="22" spans="1:7">
      <c r="G22" s="10" t="s">
        <v>106</v>
      </c>
    </row>
    <row r="27" spans="1:7">
      <c r="C27" t="s">
        <v>107</v>
      </c>
      <c r="G27" s="10" t="s">
        <v>108</v>
      </c>
    </row>
  </sheetData>
  <mergeCells count="7">
    <mergeCell ref="A1:O1"/>
    <mergeCell ref="G4:H4"/>
    <mergeCell ref="I4:J4"/>
    <mergeCell ref="M4:N4"/>
    <mergeCell ref="E4:F4"/>
    <mergeCell ref="G2:N2"/>
    <mergeCell ref="K4:L4"/>
  </mergeCells>
  <pageMargins left="0.33333333333333331" right="0.24107142857142858" top="0.5267857142857143" bottom="0.75" header="0.3" footer="0.3"/>
  <pageSetup paperSize="9" scale="6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view="pageLayout" topLeftCell="A7" workbookViewId="0">
      <selection activeCell="C19" sqref="C19:H29"/>
    </sheetView>
  </sheetViews>
  <sheetFormatPr defaultRowHeight="15"/>
  <cols>
    <col min="1" max="1" width="6" customWidth="1"/>
    <col min="2" max="2" width="42.28515625" customWidth="1"/>
    <col min="3" max="3" width="21" customWidth="1"/>
    <col min="4" max="4" width="7.85546875" style="10" customWidth="1"/>
    <col min="5" max="5" width="12.7109375" style="10" customWidth="1"/>
    <col min="6" max="6" width="11.28515625" style="10" customWidth="1"/>
    <col min="7" max="7" width="13" style="10" customWidth="1"/>
    <col min="8" max="8" width="12" style="10" customWidth="1"/>
    <col min="9" max="9" width="13.7109375" style="10" customWidth="1"/>
    <col min="10" max="10" width="11.5703125" style="10" customWidth="1"/>
    <col min="11" max="11" width="12.42578125" style="10" customWidth="1"/>
    <col min="12" max="12" width="11.85546875" style="10" customWidth="1"/>
    <col min="13" max="13" width="13" style="10" customWidth="1"/>
    <col min="14" max="14" width="13.28515625" style="10" customWidth="1"/>
    <col min="15" max="15" width="14.85546875" style="10" customWidth="1"/>
    <col min="16" max="16" width="15.42578125" customWidth="1"/>
  </cols>
  <sheetData>
    <row r="1" spans="1:16" ht="63" customHeight="1">
      <c r="A1" s="103" t="s">
        <v>77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33.75" customHeight="1" thickBot="1">
      <c r="A2" s="1" t="s">
        <v>8</v>
      </c>
      <c r="C2" s="10" t="s">
        <v>30</v>
      </c>
      <c r="G2" s="107" t="s">
        <v>9</v>
      </c>
      <c r="H2" s="107"/>
      <c r="I2" s="107"/>
      <c r="J2" s="107"/>
      <c r="K2" s="107"/>
      <c r="L2" s="107"/>
      <c r="M2" s="107"/>
      <c r="N2" s="107"/>
    </row>
    <row r="3" spans="1:16" ht="33.75" hidden="1" customHeight="1" thickBot="1">
      <c r="A3" s="1"/>
      <c r="E3" s="10">
        <v>26</v>
      </c>
      <c r="F3" s="10">
        <v>30</v>
      </c>
      <c r="G3" s="11">
        <f>MAX(протокол56д[результат2])</f>
        <v>8.8000000000000007</v>
      </c>
      <c r="H3" s="11">
        <v>20</v>
      </c>
      <c r="I3" s="11">
        <f>MIN(протокол56д[результат (сек)5])</f>
        <v>155</v>
      </c>
      <c r="J3" s="11">
        <v>20</v>
      </c>
      <c r="K3" s="28">
        <f>MIN(протокол56д[результат3 (сек)])</f>
        <v>31</v>
      </c>
      <c r="L3" s="29">
        <v>15</v>
      </c>
      <c r="M3" s="11">
        <f>MIN(протокол56д[результат (сек)7])</f>
        <v>65</v>
      </c>
      <c r="N3" s="11">
        <v>15</v>
      </c>
      <c r="O3" s="10">
        <f>MAX(протокол56д[зачетный балл9])</f>
        <v>83.305416430416429</v>
      </c>
    </row>
    <row r="4" spans="1:16" ht="46.5" customHeight="1" thickBot="1">
      <c r="B4" t="s">
        <v>28</v>
      </c>
      <c r="E4" s="104" t="s">
        <v>10</v>
      </c>
      <c r="F4" s="106"/>
      <c r="G4" s="104" t="s">
        <v>25</v>
      </c>
      <c r="H4" s="105"/>
      <c r="I4" s="104" t="s">
        <v>24</v>
      </c>
      <c r="J4" s="105"/>
      <c r="K4" s="108" t="s">
        <v>23</v>
      </c>
      <c r="L4" s="109"/>
      <c r="M4" s="104" t="s">
        <v>14</v>
      </c>
      <c r="N4" s="105"/>
      <c r="O4" s="30" t="s">
        <v>12</v>
      </c>
    </row>
    <row r="5" spans="1:16" ht="63" customHeight="1">
      <c r="A5" s="4" t="s">
        <v>2</v>
      </c>
      <c r="B5" s="3" t="s">
        <v>3</v>
      </c>
      <c r="C5" s="3" t="s">
        <v>0</v>
      </c>
      <c r="D5" s="17" t="s">
        <v>1</v>
      </c>
      <c r="E5" s="12" t="s">
        <v>4</v>
      </c>
      <c r="F5" s="13" t="s">
        <v>5</v>
      </c>
      <c r="G5" s="12" t="s">
        <v>16</v>
      </c>
      <c r="H5" s="13" t="s">
        <v>17</v>
      </c>
      <c r="I5" s="12" t="s">
        <v>18</v>
      </c>
      <c r="J5" s="13" t="s">
        <v>19</v>
      </c>
      <c r="K5" s="12" t="s">
        <v>26</v>
      </c>
      <c r="L5" s="13" t="s">
        <v>27</v>
      </c>
      <c r="M5" s="12" t="s">
        <v>20</v>
      </c>
      <c r="N5" s="13" t="s">
        <v>21</v>
      </c>
      <c r="O5" s="23" t="s">
        <v>22</v>
      </c>
      <c r="P5" s="25" t="s">
        <v>13</v>
      </c>
    </row>
    <row r="6" spans="1:16" ht="15.75">
      <c r="A6" s="2">
        <v>1</v>
      </c>
      <c r="B6" s="8" t="s">
        <v>55</v>
      </c>
      <c r="C6" s="6" t="s">
        <v>61</v>
      </c>
      <c r="D6" s="72" t="s">
        <v>65</v>
      </c>
      <c r="E6" s="76">
        <v>16</v>
      </c>
      <c r="F6" s="15">
        <f>IF(OR(ISTEXT(протокол56д[[#This Row],[результат]]),протокол56д[[#This Row],[результат]]=""),"",($F$3*протокол56д[[#This Row],[результат]])/$E$3)</f>
        <v>18.46153846153846</v>
      </c>
      <c r="G6" s="79">
        <v>8.6</v>
      </c>
      <c r="H6" s="15">
        <f>IF(OR(ISTEXT(протокол56д[[#This Row],[результат2]]),протокол56д[[#This Row],[результат2]]=""),"",($H$3*протокол56д[[#This Row],[результат2]])/$G$3)</f>
        <v>19.545454545454543</v>
      </c>
      <c r="I6" s="79">
        <v>185</v>
      </c>
      <c r="J6" s="21">
        <f>IF(OR(ISTEXT(протокол56д[[#This Row],[результат (сек)5]]),протокол56д[[#This Row],[результат (сек)5]]=""),"",($J$3*$I$3)/протокол56д[[#This Row],[результат (сек)5]])</f>
        <v>16.756756756756758</v>
      </c>
      <c r="K6" s="22">
        <v>31</v>
      </c>
      <c r="L6" s="21">
        <f>IF(OR(ISTEXT(протокол56д[[#This Row],[результат3 (сек)]]),протокол56д[[#This Row],[результат3 (сек)]]=""),"",($L$3*$K$3)/протокол56д[[#This Row],[результат3 (сек)]])</f>
        <v>15</v>
      </c>
      <c r="M6" s="16">
        <v>72</v>
      </c>
      <c r="N6" s="21">
        <f>IF(OR(ISTEXT(протокол56д[[#This Row],[результат (сек)7]]),протокол56д[[#This Row],[результат (сек)7]]=""),"",($N$3*$M$3)/протокол56д[[#This Row],[результат (сек)7]])</f>
        <v>13.541666666666666</v>
      </c>
      <c r="O6" s="24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83.305416430416429</v>
      </c>
      <c r="P6" s="27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Победитель</v>
      </c>
    </row>
    <row r="7" spans="1:16" ht="15.75">
      <c r="A7" s="2">
        <v>2</v>
      </c>
      <c r="B7" s="8" t="s">
        <v>57</v>
      </c>
      <c r="C7" s="6" t="s">
        <v>61</v>
      </c>
      <c r="D7" s="72" t="s">
        <v>64</v>
      </c>
      <c r="E7" s="77">
        <v>15</v>
      </c>
      <c r="F7" s="63">
        <f>IF(OR(ISTEXT(протокол56д[[#This Row],[результат]]),протокол56д[[#This Row],[результат]]=""),"",($F$3*протокол56д[[#This Row],[результат]])/$E$3)</f>
        <v>17.307692307692307</v>
      </c>
      <c r="G7" s="79">
        <v>8.3000000000000007</v>
      </c>
      <c r="H7" s="63">
        <f>IF(OR(ISTEXT(протокол56д[[#This Row],[результат2]]),протокол56д[[#This Row],[результат2]]=""),"",($H$3*протокол56д[[#This Row],[результат2]])/$G$3)</f>
        <v>18.863636363636363</v>
      </c>
      <c r="I7" s="79">
        <v>155</v>
      </c>
      <c r="J7" s="65">
        <f>IF(OR(ISTEXT(протокол56д[[#This Row],[результат (сек)5]]),протокол56д[[#This Row],[результат (сек)5]]=""),"",($J$3*$I$3)/протокол56д[[#This Row],[результат (сек)5]])</f>
        <v>20</v>
      </c>
      <c r="K7" s="100">
        <v>35</v>
      </c>
      <c r="L7" s="65">
        <f>IF(OR(ISTEXT(протокол56д[[#This Row],[результат3 (сек)]]),протокол56д[[#This Row],[результат3 (сек)]]=""),"",($L$3*$K$3)/протокол56д[[#This Row],[результат3 (сек)]])</f>
        <v>13.285714285714286</v>
      </c>
      <c r="M7" s="64">
        <v>73</v>
      </c>
      <c r="N7" s="65">
        <f>IF(OR(ISTEXT(протокол56д[[#This Row],[результат (сек)7]]),протокол56д[[#This Row],[результат (сек)7]]=""),"",($N$3*$M$3)/протокол56д[[#This Row],[результат (сек)7]])</f>
        <v>13.356164383561644</v>
      </c>
      <c r="O7" s="68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82.813207340604606</v>
      </c>
      <c r="P7" s="69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Призер</v>
      </c>
    </row>
    <row r="8" spans="1:16" ht="15.75">
      <c r="A8" s="2">
        <v>3</v>
      </c>
      <c r="B8" s="8" t="s">
        <v>54</v>
      </c>
      <c r="C8" s="6" t="s">
        <v>61</v>
      </c>
      <c r="D8" s="72" t="s">
        <v>64</v>
      </c>
      <c r="E8" s="77">
        <v>15</v>
      </c>
      <c r="F8" s="15">
        <f>IF(OR(ISTEXT(протокол56д[[#This Row],[результат]]),протокол56д[[#This Row],[результат]]=""),"",($F$3*протокол56д[[#This Row],[результат]])/$E$3)</f>
        <v>17.307692307692307</v>
      </c>
      <c r="G8" s="79">
        <v>8.1999999999999993</v>
      </c>
      <c r="H8" s="15">
        <f>IF(OR(ISTEXT(протокол56д[[#This Row],[результат2]]),протокол56д[[#This Row],[результат2]]=""),"",($H$3*протокол56д[[#This Row],[результат2]])/$G$3)</f>
        <v>18.636363636363633</v>
      </c>
      <c r="I8" s="79">
        <v>155</v>
      </c>
      <c r="J8" s="21">
        <f>IF(OR(ISTEXT(протокол56д[[#This Row],[результат (сек)5]]),протокол56д[[#This Row],[результат (сек)5]]=""),"",($J$3*$I$3)/протокол56д[[#This Row],[результат (сек)5]])</f>
        <v>20</v>
      </c>
      <c r="K8" s="22">
        <v>36</v>
      </c>
      <c r="L8" s="21">
        <f>IF(OR(ISTEXT(протокол56д[[#This Row],[результат3 (сек)]]),протокол56д[[#This Row],[результат3 (сек)]]=""),"",($L$3*$K$3)/протокол56д[[#This Row],[результат3 (сек)]])</f>
        <v>12.916666666666666</v>
      </c>
      <c r="M8" s="20">
        <v>73</v>
      </c>
      <c r="N8" s="21">
        <f>IF(OR(ISTEXT(протокол56д[[#This Row],[результат (сек)7]]),протокол56д[[#This Row],[результат (сек)7]]=""),"",($N$3*$M$3)/протокол56д[[#This Row],[результат (сек)7]])</f>
        <v>13.356164383561644</v>
      </c>
      <c r="O8" s="24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82.216886994284252</v>
      </c>
      <c r="P8" s="26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9" spans="1:16" ht="15.75">
      <c r="A9" s="2">
        <v>4</v>
      </c>
      <c r="B9" s="7" t="s">
        <v>60</v>
      </c>
      <c r="C9" s="6" t="s">
        <v>61</v>
      </c>
      <c r="D9" s="18" t="s">
        <v>66</v>
      </c>
      <c r="E9" s="77">
        <v>20</v>
      </c>
      <c r="F9" s="63">
        <f>IF(OR(ISTEXT(протокол56д[[#This Row],[результат]]),протокол56д[[#This Row],[результат]]=""),"",($F$3*протокол56д[[#This Row],[результат]])/$E$3)</f>
        <v>23.076923076923077</v>
      </c>
      <c r="G9" s="14">
        <v>7.2</v>
      </c>
      <c r="H9" s="63">
        <f>IF(OR(ISTEXT(протокол56д[[#This Row],[результат2]]),протокол56д[[#This Row],[результат2]]=""),"",($H$3*протокол56д[[#This Row],[результат2]])/$G$3)</f>
        <v>16.363636363636363</v>
      </c>
      <c r="I9" s="14">
        <v>171</v>
      </c>
      <c r="J9" s="65">
        <f>IF(OR(ISTEXT(протокол56д[[#This Row],[результат (сек)5]]),протокол56д[[#This Row],[результат (сек)5]]=""),"",($J$3*$I$3)/протокол56д[[#This Row],[результат (сек)5]])</f>
        <v>18.128654970760234</v>
      </c>
      <c r="K9" s="100">
        <v>39</v>
      </c>
      <c r="L9" s="65">
        <f>IF(OR(ISTEXT(протокол56д[[#This Row],[результат3 (сек)]]),протокол56д[[#This Row],[результат3 (сек)]]=""),"",($L$3*$K$3)/протокол56д[[#This Row],[результат3 (сек)]])</f>
        <v>11.923076923076923</v>
      </c>
      <c r="M9" s="64">
        <v>77</v>
      </c>
      <c r="N9" s="65">
        <f>IF(OR(ISTEXT(протокол56д[[#This Row],[результат (сек)7]]),протокол56д[[#This Row],[результат (сек)7]]=""),"",($N$3*$M$3)/протокол56д[[#This Row],[результат (сек)7]])</f>
        <v>12.662337662337663</v>
      </c>
      <c r="O9" s="68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82.15462899673426</v>
      </c>
      <c r="P9" s="69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0" spans="1:16" ht="15.75">
      <c r="A10" s="70">
        <v>5</v>
      </c>
      <c r="B10" s="59" t="s">
        <v>59</v>
      </c>
      <c r="C10" s="71" t="s">
        <v>61</v>
      </c>
      <c r="D10" s="74" t="s">
        <v>64</v>
      </c>
      <c r="E10" s="77">
        <v>14</v>
      </c>
      <c r="F10" s="63">
        <f>IF(OR(ISTEXT(протокол56д[[#This Row],[результат]]),протокол56д[[#This Row],[результат]]=""),"",($F$3*протокол56д[[#This Row],[результат]])/$E$3)</f>
        <v>16.153846153846153</v>
      </c>
      <c r="G10" s="81">
        <v>8.5</v>
      </c>
      <c r="H10" s="63">
        <f>IF(OR(ISTEXT(протокол56д[[#This Row],[результат2]]),протокол56д[[#This Row],[результат2]]=""),"",($H$3*протокол56д[[#This Row],[результат2]])/$G$3)</f>
        <v>19.318181818181817</v>
      </c>
      <c r="I10" s="81">
        <v>155</v>
      </c>
      <c r="J10" s="65">
        <f>IF(OR(ISTEXT(протокол56д[[#This Row],[результат (сек)5]]),протокол56д[[#This Row],[результат (сек)5]]=""),"",($J$3*$I$3)/протокол56д[[#This Row],[результат (сек)5]])</f>
        <v>20</v>
      </c>
      <c r="K10" s="66">
        <v>39</v>
      </c>
      <c r="L10" s="67">
        <f>IF(OR(ISTEXT(протокол56д[[#This Row],[результат3 (сек)]]),протокол56д[[#This Row],[результат3 (сек)]]=""),"",($L$3*$K$3)/протокол56д[[#This Row],[результат3 (сек)]])</f>
        <v>11.923076923076923</v>
      </c>
      <c r="M10" s="64">
        <v>75</v>
      </c>
      <c r="N10" s="65">
        <f>IF(OR(ISTEXT(протокол56д[[#This Row],[результат (сек)7]]),протокол56д[[#This Row],[результат (сек)7]]=""),"",($N$3*$M$3)/протокол56д[[#This Row],[результат (сек)7]])</f>
        <v>13</v>
      </c>
      <c r="O10" s="68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80.395104895104893</v>
      </c>
      <c r="P10" s="69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1" spans="1:16" ht="15.75">
      <c r="A11" s="70">
        <v>6</v>
      </c>
      <c r="B11" s="58" t="s">
        <v>52</v>
      </c>
      <c r="C11" s="71" t="s">
        <v>61</v>
      </c>
      <c r="D11" s="73" t="s">
        <v>62</v>
      </c>
      <c r="E11" s="77">
        <v>11</v>
      </c>
      <c r="F11" s="15">
        <f>IF(OR(ISTEXT(протокол56д[[#This Row],[результат]]),протокол56д[[#This Row],[результат]]=""),"",($F$3*протокол56д[[#This Row],[результат]])/$E$3)</f>
        <v>12.692307692307692</v>
      </c>
      <c r="G11" s="80">
        <v>8</v>
      </c>
      <c r="H11" s="15">
        <f>IF(OR(ISTEXT(протокол56д[[#This Row],[результат2]]),протокол56д[[#This Row],[результат2]]=""),"",($H$3*протокол56д[[#This Row],[результат2]])/$G$3)</f>
        <v>18.18181818181818</v>
      </c>
      <c r="I11" s="80">
        <v>176</v>
      </c>
      <c r="J11" s="21">
        <f>IF(OR(ISTEXT(протокол56д[[#This Row],[результат (сек)5]]),протокол56д[[#This Row],[результат (сек)5]]=""),"",($J$3*$I$3)/протокол56д[[#This Row],[результат (сек)5]])</f>
        <v>17.613636363636363</v>
      </c>
      <c r="K11" s="101">
        <v>46</v>
      </c>
      <c r="L11" s="102">
        <f>IF(OR(ISTEXT(протокол56д[[#This Row],[результат3 (сек)]]),протокол56д[[#This Row],[результат3 (сек)]]=""),"",($L$3*$K$3)/протокол56д[[#This Row],[результат3 (сек)]])</f>
        <v>10.108695652173912</v>
      </c>
      <c r="M11" s="20">
        <v>65</v>
      </c>
      <c r="N11" s="21">
        <f>IF(OR(ISTEXT(протокол56д[[#This Row],[результат (сек)7]]),протокол56д[[#This Row],[результат (сек)7]]=""),"",($N$3*$M$3)/протокол56д[[#This Row],[результат (сек)7]])</f>
        <v>15</v>
      </c>
      <c r="O11" s="24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73.596457889936147</v>
      </c>
      <c r="P11" s="26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2" spans="1:16" ht="15.75">
      <c r="A12" s="70">
        <v>7</v>
      </c>
      <c r="B12" s="58" t="s">
        <v>56</v>
      </c>
      <c r="C12" s="71" t="s">
        <v>61</v>
      </c>
      <c r="D12" s="73" t="s">
        <v>63</v>
      </c>
      <c r="E12" s="77">
        <v>9</v>
      </c>
      <c r="F12" s="63">
        <f>IF(OR(ISTEXT(протокол56д[[#This Row],[результат]]),протокол56д[[#This Row],[результат]]=""),"",($F$3*протокол56д[[#This Row],[результат]])/$E$3)</f>
        <v>10.384615384615385</v>
      </c>
      <c r="G12" s="80">
        <v>8.8000000000000007</v>
      </c>
      <c r="H12" s="63">
        <f>IF(OR(ISTEXT(протокол56д[[#This Row],[результат2]]),протокол56д[[#This Row],[результат2]]=""),"",($H$3*протокол56д[[#This Row],[результат2]])/$G$3)</f>
        <v>20</v>
      </c>
      <c r="I12" s="80">
        <v>179</v>
      </c>
      <c r="J12" s="65">
        <f>IF(OR(ISTEXT(протокол56д[[#This Row],[результат (сек)5]]),протокол56д[[#This Row],[результат (сек)5]]=""),"",($J$3*$I$3)/протокол56д[[#This Row],[результат (сек)5]])</f>
        <v>17.318435754189945</v>
      </c>
      <c r="K12" s="66">
        <v>52</v>
      </c>
      <c r="L12" s="67">
        <f>IF(OR(ISTEXT(протокол56д[[#This Row],[результат3 (сек)]]),протокол56д[[#This Row],[результат3 (сек)]]=""),"",($L$3*$K$3)/протокол56д[[#This Row],[результат3 (сек)]])</f>
        <v>8.9423076923076916</v>
      </c>
      <c r="M12" s="64">
        <v>78</v>
      </c>
      <c r="N12" s="65">
        <f>IF(OR(ISTEXT(протокол56д[[#This Row],[результат (сек)7]]),протокол56д[[#This Row],[результат (сек)7]]=""),"",($N$3*$M$3)/протокол56д[[#This Row],[результат (сек)7]])</f>
        <v>12.5</v>
      </c>
      <c r="O12" s="68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69.145358831113029</v>
      </c>
      <c r="P12" s="69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3" spans="1:16" ht="15.75">
      <c r="A13" s="70">
        <v>8</v>
      </c>
      <c r="B13" s="59" t="s">
        <v>58</v>
      </c>
      <c r="C13" s="71" t="s">
        <v>61</v>
      </c>
      <c r="D13" s="74" t="s">
        <v>63</v>
      </c>
      <c r="E13" s="77">
        <v>10</v>
      </c>
      <c r="F13" s="63">
        <f>IF(OR(ISTEXT(протокол56д[[#This Row],[результат]]),протокол56д[[#This Row],[результат]]=""),"",($F$3*протокол56д[[#This Row],[результат]])/$E$3)</f>
        <v>11.538461538461538</v>
      </c>
      <c r="G13" s="81">
        <v>6</v>
      </c>
      <c r="H13" s="63">
        <f>IF(OR(ISTEXT(протокол56д[[#This Row],[результат2]]),протокол56д[[#This Row],[результат2]]=""),"",($H$3*протокол56д[[#This Row],[результат2]])/$G$3)</f>
        <v>13.636363636363635</v>
      </c>
      <c r="I13" s="81">
        <v>179</v>
      </c>
      <c r="J13" s="65">
        <f>IF(OR(ISTEXT(протокол56д[[#This Row],[результат (сек)5]]),протокол56д[[#This Row],[результат (сек)5]]=""),"",($J$3*$I$3)/протокол56д[[#This Row],[результат (сек)5]])</f>
        <v>17.318435754189945</v>
      </c>
      <c r="K13" s="66">
        <v>57</v>
      </c>
      <c r="L13" s="67">
        <f>IF(OR(ISTEXT(протокол56д[[#This Row],[результат3 (сек)]]),протокол56д[[#This Row],[результат3 (сек)]]=""),"",($L$3*$K$3)/протокол56д[[#This Row],[результат3 (сек)]])</f>
        <v>8.1578947368421044</v>
      </c>
      <c r="M13" s="64">
        <v>91</v>
      </c>
      <c r="N13" s="65">
        <f>IF(OR(ISTEXT(протокол56д[[#This Row],[результат (сек)7]]),протокол56д[[#This Row],[результат (сек)7]]=""),"",($N$3*$M$3)/протокол56д[[#This Row],[результат (сек)7]])</f>
        <v>10.714285714285714</v>
      </c>
      <c r="O13" s="68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61.36544138014294</v>
      </c>
      <c r="P13" s="69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4" spans="1:16" ht="15.75">
      <c r="A14" s="70">
        <v>9</v>
      </c>
      <c r="B14" s="59" t="s">
        <v>53</v>
      </c>
      <c r="C14" s="71" t="s">
        <v>61</v>
      </c>
      <c r="D14" s="98" t="s">
        <v>63</v>
      </c>
      <c r="E14" s="78">
        <v>8</v>
      </c>
      <c r="F14" s="15">
        <f>IF(OR(ISTEXT(протокол56д[[#This Row],[результат]]),протокол56д[[#This Row],[результат]]=""),"",($F$3*протокол56д[[#This Row],[результат]])/$E$3)</f>
        <v>9.2307692307692299</v>
      </c>
      <c r="G14" s="99">
        <v>6</v>
      </c>
      <c r="H14" s="15">
        <f>IF(OR(ISTEXT(протокол56д[[#This Row],[результат2]]),протокол56д[[#This Row],[результат2]]=""),"",($H$3*протокол56д[[#This Row],[результат2]])/$G$3)</f>
        <v>13.636363636363635</v>
      </c>
      <c r="I14" s="99">
        <v>219</v>
      </c>
      <c r="J14" s="21">
        <f>IF(OR(ISTEXT(протокол56д[[#This Row],[результат (сек)5]]),протокол56д[[#This Row],[результат (сек)5]]=""),"",($J$3*$I$3)/протокол56д[[#This Row],[результат (сек)5]])</f>
        <v>14.155251141552512</v>
      </c>
      <c r="K14" s="101">
        <v>43</v>
      </c>
      <c r="L14" s="102">
        <f>IF(OR(ISTEXT(протокол56д[[#This Row],[результат3 (сек)]]),протокол56д[[#This Row],[результат3 (сек)]]=""),"",($L$3*$K$3)/протокол56д[[#This Row],[результат3 (сек)]])</f>
        <v>10.813953488372093</v>
      </c>
      <c r="M14" s="20">
        <v>116</v>
      </c>
      <c r="N14" s="21">
        <f>IF(OR(ISTEXT(протокол56д[[#This Row],[результат (сек)7]]),протокол56д[[#This Row],[результат (сек)7]]=""),"",($N$3*$M$3)/протокол56д[[#This Row],[результат (сек)7]])</f>
        <v>8.4051724137931032</v>
      </c>
      <c r="O14" s="24">
        <f>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(сек)7]])=4,0,IF(COUNT(протокол56д[[#This Row],[результат]],протокол56д[[#This Row],[результат2]],протокол56д[[#This Row],[результат (сек)5]],протокол56д[[#This Row],[результат3 (сек)]],протокол56д[[#This Row],[результат (сек)7]])&lt;4,"",SUM(протокол56д[[#This Row],[зачетный балл]],протокол56д[[#This Row],[зачетный балл3]],протокол56д[[#This Row],[зачетный балл6]],протокол56д[[#This Row],[зачетный балл72]],протокол56д[[#This Row],[зачетный балл8]])))</f>
        <v>56.241509910850574</v>
      </c>
      <c r="P14" s="26" t="str">
        <f>IF(протокол56д[[#This Row],[зачетный балл9]]="","",IF(протокол56д[[#This Row],[зачетный балл9]]&lt;=50,"Участник",IF(протокол56д[[#This Row],[зачетный балл9]]=$O$3,"Победитель",IF(COUNTIF([зачетный балл9],"&gt;="&amp;"0")/4&gt;=COUNTIF([зачетный балл9],"&gt;="&amp;протокол56д[[#This Row],[зачетный балл9]]),"Призер","Участник"))))</f>
        <v>Участник</v>
      </c>
    </row>
    <row r="17" spans="1:7" ht="15.75">
      <c r="A17" s="89"/>
    </row>
    <row r="19" spans="1:7" ht="15.75">
      <c r="A19" s="89"/>
      <c r="B19" s="89"/>
    </row>
    <row r="20" spans="1:7" ht="15.75">
      <c r="A20" s="89"/>
      <c r="B20" s="89"/>
      <c r="C20" t="s">
        <v>102</v>
      </c>
      <c r="G20" s="10" t="s">
        <v>104</v>
      </c>
    </row>
    <row r="21" spans="1:7" ht="15.75">
      <c r="A21" s="89"/>
      <c r="B21" s="89"/>
    </row>
    <row r="22" spans="1:7" ht="15.75">
      <c r="A22" s="89"/>
      <c r="B22" s="89"/>
      <c r="C22" t="s">
        <v>103</v>
      </c>
      <c r="G22" s="10" t="s">
        <v>105</v>
      </c>
    </row>
    <row r="23" spans="1:7">
      <c r="G23" s="10" t="s">
        <v>106</v>
      </c>
    </row>
    <row r="28" spans="1:7">
      <c r="C28" t="s">
        <v>107</v>
      </c>
      <c r="G28" s="10" t="s">
        <v>108</v>
      </c>
    </row>
  </sheetData>
  <mergeCells count="7">
    <mergeCell ref="A1:O1"/>
    <mergeCell ref="G2:N2"/>
    <mergeCell ref="E4:F4"/>
    <mergeCell ref="G4:H4"/>
    <mergeCell ref="I4:J4"/>
    <mergeCell ref="K4:L4"/>
    <mergeCell ref="M4:N4"/>
  </mergeCells>
  <pageMargins left="0.39285714285714285" right="0.25" top="0.39285714285714285" bottom="0.75" header="0.3" footer="0.3"/>
  <pageSetup paperSize="9" scale="6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P21"/>
  <sheetViews>
    <sheetView view="pageLayout" topLeftCell="A4" workbookViewId="0">
      <selection activeCell="D11" sqref="D11:I21"/>
    </sheetView>
  </sheetViews>
  <sheetFormatPr defaultRowHeight="15"/>
  <cols>
    <col min="1" max="1" width="6" customWidth="1"/>
    <col min="2" max="2" width="43" customWidth="1"/>
    <col min="3" max="3" width="21" customWidth="1"/>
    <col min="4" max="4" width="7.85546875" style="10" customWidth="1"/>
    <col min="5" max="5" width="12.7109375" style="10" customWidth="1"/>
    <col min="6" max="6" width="11.28515625" style="10" customWidth="1"/>
    <col min="7" max="7" width="13" style="10" customWidth="1"/>
    <col min="8" max="8" width="12" style="10" customWidth="1"/>
    <col min="9" max="9" width="13.7109375" style="10" customWidth="1"/>
    <col min="10" max="10" width="11.42578125" style="10" customWidth="1"/>
    <col min="11" max="11" width="12.42578125" style="10" customWidth="1"/>
    <col min="12" max="12" width="11.42578125" style="10" customWidth="1"/>
    <col min="13" max="13" width="13" style="10" customWidth="1"/>
    <col min="14" max="14" width="13.28515625" style="10" customWidth="1"/>
    <col min="15" max="15" width="14.85546875" style="10" customWidth="1"/>
    <col min="16" max="16" width="16.85546875" customWidth="1"/>
  </cols>
  <sheetData>
    <row r="1" spans="1:16" ht="69.75" customHeight="1">
      <c r="A1" s="103" t="s">
        <v>101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33.75" customHeight="1" thickBot="1">
      <c r="A2" s="1" t="s">
        <v>7</v>
      </c>
      <c r="C2" s="10" t="s">
        <v>11</v>
      </c>
      <c r="G2" s="107" t="s">
        <v>9</v>
      </c>
      <c r="H2" s="107"/>
      <c r="I2" s="107"/>
      <c r="J2" s="107"/>
      <c r="K2" s="107"/>
      <c r="L2" s="107"/>
      <c r="M2" s="107"/>
      <c r="N2" s="107"/>
    </row>
    <row r="3" spans="1:16" ht="33.75" hidden="1" customHeight="1" thickBot="1">
      <c r="A3" s="1"/>
      <c r="E3" s="10">
        <v>40</v>
      </c>
      <c r="F3" s="10">
        <v>30</v>
      </c>
      <c r="G3" s="11">
        <f>MAX(протокол78ю5[результат2])</f>
        <v>5.6</v>
      </c>
      <c r="H3" s="11">
        <v>20</v>
      </c>
      <c r="I3" s="11">
        <f>MIN(протокол78ю5[результат (сек)5])</f>
        <v>250</v>
      </c>
      <c r="J3" s="11">
        <v>20</v>
      </c>
      <c r="K3" s="28">
        <f>MIN(протокол78ю5[результат3 (сек)])</f>
        <v>82</v>
      </c>
      <c r="L3" s="29">
        <v>15</v>
      </c>
      <c r="M3" s="11">
        <f>MIN(протокол78ю5[результат (сек)7])</f>
        <v>76</v>
      </c>
      <c r="N3" s="11">
        <v>15</v>
      </c>
      <c r="O3" s="10">
        <f>MAX(протокол78ю5[зачетный балл9])</f>
        <v>87.625</v>
      </c>
    </row>
    <row r="4" spans="1:16" ht="46.5" customHeight="1" thickBot="1">
      <c r="B4" t="s">
        <v>28</v>
      </c>
      <c r="E4" s="104" t="s">
        <v>10</v>
      </c>
      <c r="F4" s="106"/>
      <c r="G4" s="104" t="s">
        <v>25</v>
      </c>
      <c r="H4" s="105"/>
      <c r="I4" s="104" t="s">
        <v>24</v>
      </c>
      <c r="J4" s="105"/>
      <c r="K4" s="108" t="s">
        <v>23</v>
      </c>
      <c r="L4" s="109"/>
      <c r="M4" s="104" t="s">
        <v>14</v>
      </c>
      <c r="N4" s="105"/>
      <c r="O4" s="30" t="s">
        <v>12</v>
      </c>
    </row>
    <row r="5" spans="1:16" ht="63" customHeight="1">
      <c r="A5" s="4" t="s">
        <v>2</v>
      </c>
      <c r="B5" s="3" t="s">
        <v>3</v>
      </c>
      <c r="C5" s="3" t="s">
        <v>0</v>
      </c>
      <c r="D5" s="17" t="s">
        <v>1</v>
      </c>
      <c r="E5" s="12" t="s">
        <v>4</v>
      </c>
      <c r="F5" s="13" t="s">
        <v>5</v>
      </c>
      <c r="G5" s="12" t="s">
        <v>16</v>
      </c>
      <c r="H5" s="13" t="s">
        <v>17</v>
      </c>
      <c r="I5" s="12" t="s">
        <v>18</v>
      </c>
      <c r="J5" s="13" t="s">
        <v>19</v>
      </c>
      <c r="K5" s="12" t="s">
        <v>26</v>
      </c>
      <c r="L5" s="13" t="s">
        <v>27</v>
      </c>
      <c r="M5" s="12" t="s">
        <v>20</v>
      </c>
      <c r="N5" s="13" t="s">
        <v>21</v>
      </c>
      <c r="O5" s="23" t="s">
        <v>22</v>
      </c>
      <c r="P5" s="25" t="s">
        <v>13</v>
      </c>
    </row>
    <row r="6" spans="1:16" ht="15.75">
      <c r="A6" s="2">
        <v>1</v>
      </c>
      <c r="B6" s="7" t="s">
        <v>99</v>
      </c>
      <c r="C6" s="6" t="s">
        <v>100</v>
      </c>
      <c r="D6" s="18" t="s">
        <v>79</v>
      </c>
      <c r="E6" s="14">
        <v>23.5</v>
      </c>
      <c r="F6" s="15">
        <f>IF(OR(ISTEXT(протокол78ю5[[#This Row],[результат]]),протокол78ю5[[#This Row],[результат]]=""),"",($F$3*протокол78ю5[[#This Row],[результат]])/$E$3)</f>
        <v>17.625</v>
      </c>
      <c r="G6" s="14">
        <v>5.6</v>
      </c>
      <c r="H6" s="15">
        <f>IF(OR(ISTEXT(протокол78ю5[[#This Row],[результат2]]),протокол78ю5[[#This Row],[результат2]]=""),"",($H$3*протокол78ю5[[#This Row],[результат2]])/$G$3)</f>
        <v>20</v>
      </c>
      <c r="I6" s="20">
        <v>250</v>
      </c>
      <c r="J6" s="21">
        <f>IF(OR(ISTEXT(протокол78ю5[[#This Row],[результат (сек)5]]),протокол78ю5[[#This Row],[результат (сек)5]]=""),"",($J$3*$I$3)/протокол78ю5[[#This Row],[результат (сек)5]])</f>
        <v>20</v>
      </c>
      <c r="K6" s="22">
        <v>82</v>
      </c>
      <c r="L6" s="21">
        <f>IF(OR(ISTEXT(протокол78ю5[[#This Row],[результат3 (сек)]]),протокол78ю5[[#This Row],[результат3 (сек)]]=""),"",($L$3*$K$3)/протокол78ю5[[#This Row],[результат3 (сек)]])</f>
        <v>15</v>
      </c>
      <c r="M6" s="20">
        <v>76</v>
      </c>
      <c r="N6" s="21">
        <f>IF(OR(ISTEXT(протокол78ю5[[#This Row],[результат (сек)7]]),протокол78ю5[[#This Row],[результат (сек)7]]=""),"",($N$3*$M$3)/протокол78ю5[[#This Row],[результат (сек)7]])</f>
        <v>15</v>
      </c>
      <c r="O6" s="24">
        <f>IF(COUNT(протокол78ю5[[#This Row],[результат]],протокол78ю5[[#This Row],[результат2]],протокол78ю5[[#This Row],[результат (сек)5]],протокол78ю5[[#This Row],[результат3 (сек)]],протокол78ю5[[#This Row],[результат (сек)7]])=4,0,IF(COUNT(протокол78ю5[[#This Row],[результат]],протокол78ю5[[#This Row],[результат2]],протокол78ю5[[#This Row],[результат (сек)5]],протокол78ю5[[#This Row],[результат3 (сек)]],протокол78ю5[[#This Row],[результат (сек)7]])&lt;4,"",SUM(протокол78ю5[[#This Row],[зачетный балл]],протокол78ю5[[#This Row],[зачетный балл3]],протокол78ю5[[#This Row],[зачетный балл6]],протокол78ю5[[#This Row],[зачетный балл72]],протокол78ю5[[#This Row],[зачетный балл8]])))</f>
        <v>87.625</v>
      </c>
      <c r="P6" s="26" t="str">
        <f>IF(протокол78ю5[[#This Row],[зачетный балл9]]="","",IF(протокол78ю5[[#This Row],[зачетный балл9]]&lt;=50,"Участник",IF(протокол78ю5[[#This Row],[зачетный балл9]]=$O$3,"Победитель",IF(COUNTIF([зачетный балл9],"&gt;="&amp;"0")/4&gt;=COUNTIF([зачетный балл9],"&gt;="&amp;протокол78ю5[[#This Row],[зачетный балл9]]),"Призер","Участник"))))</f>
        <v>Победитель</v>
      </c>
    </row>
    <row r="7" spans="1:16" ht="15.75">
      <c r="A7" s="89"/>
      <c r="B7" s="89"/>
    </row>
    <row r="8" spans="1:16" ht="15.75">
      <c r="A8" s="89"/>
    </row>
    <row r="10" spans="1:16" ht="15.75">
      <c r="A10" s="89"/>
      <c r="B10" s="89"/>
    </row>
    <row r="11" spans="1:16" ht="15.75">
      <c r="A11" s="89"/>
      <c r="B11" s="89"/>
      <c r="D11"/>
    </row>
    <row r="12" spans="1:16" ht="15.75">
      <c r="A12" s="89"/>
      <c r="B12" s="89"/>
      <c r="D12" t="s">
        <v>102</v>
      </c>
      <c r="H12" s="10" t="s">
        <v>104</v>
      </c>
    </row>
    <row r="13" spans="1:16" ht="15.75">
      <c r="A13" s="89"/>
      <c r="B13" s="89"/>
      <c r="D13"/>
    </row>
    <row r="14" spans="1:16">
      <c r="D14" t="s">
        <v>103</v>
      </c>
      <c r="H14" s="10" t="s">
        <v>105</v>
      </c>
    </row>
    <row r="15" spans="1:16">
      <c r="D15"/>
      <c r="H15" s="10" t="s">
        <v>106</v>
      </c>
    </row>
    <row r="16" spans="1:16">
      <c r="D16"/>
    </row>
    <row r="17" spans="4:8">
      <c r="D17"/>
    </row>
    <row r="18" spans="4:8">
      <c r="D18"/>
    </row>
    <row r="19" spans="4:8">
      <c r="D19"/>
    </row>
    <row r="20" spans="4:8">
      <c r="D20" t="s">
        <v>107</v>
      </c>
      <c r="H20" s="10" t="s">
        <v>108</v>
      </c>
    </row>
    <row r="21" spans="4:8">
      <c r="D21"/>
    </row>
  </sheetData>
  <mergeCells count="7">
    <mergeCell ref="A1:O1"/>
    <mergeCell ref="G2:N2"/>
    <mergeCell ref="E4:F4"/>
    <mergeCell ref="G4:H4"/>
    <mergeCell ref="I4:J4"/>
    <mergeCell ref="K4:L4"/>
    <mergeCell ref="M4:N4"/>
  </mergeCells>
  <pageMargins left="0.4375" right="0.18958333333333333" top="0.39285714285714285" bottom="0.75" header="0.3" footer="0.3"/>
  <pageSetup paperSize="9" scale="6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P22"/>
  <sheetViews>
    <sheetView view="pageLayout" topLeftCell="A5" zoomScaleNormal="85" workbookViewId="0">
      <selection activeCell="D12" sqref="D12:I22"/>
    </sheetView>
  </sheetViews>
  <sheetFormatPr defaultRowHeight="15"/>
  <cols>
    <col min="1" max="1" width="6" customWidth="1"/>
    <col min="2" max="2" width="42" customWidth="1"/>
    <col min="3" max="3" width="20.140625" customWidth="1"/>
    <col min="4" max="4" width="7.85546875" style="10" customWidth="1"/>
    <col min="5" max="5" width="12.7109375" style="10" customWidth="1"/>
    <col min="6" max="6" width="11.28515625" style="10" customWidth="1"/>
    <col min="7" max="7" width="13" style="10" customWidth="1"/>
    <col min="8" max="8" width="12" style="10" customWidth="1"/>
    <col min="9" max="9" width="13.7109375" style="10" customWidth="1"/>
    <col min="10" max="10" width="11.5703125" style="10" customWidth="1"/>
    <col min="11" max="11" width="12.42578125" style="10" customWidth="1"/>
    <col min="12" max="12" width="11.85546875" style="10" customWidth="1"/>
    <col min="13" max="13" width="13" style="10" customWidth="1"/>
    <col min="14" max="14" width="13.28515625" style="10" customWidth="1"/>
    <col min="15" max="15" width="14.85546875" style="10" customWidth="1"/>
    <col min="16" max="16" width="19.42578125" customWidth="1"/>
  </cols>
  <sheetData>
    <row r="1" spans="1:16" ht="70.5" customHeight="1">
      <c r="A1" s="103" t="s">
        <v>101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33.75" customHeight="1">
      <c r="A2" s="1" t="s">
        <v>7</v>
      </c>
      <c r="C2" s="10" t="s">
        <v>15</v>
      </c>
      <c r="G2" s="110" t="s">
        <v>9</v>
      </c>
      <c r="H2" s="111"/>
      <c r="I2" s="111"/>
      <c r="J2" s="111"/>
      <c r="K2" s="111"/>
      <c r="L2" s="111"/>
      <c r="M2" s="111"/>
      <c r="N2" s="112"/>
    </row>
    <row r="3" spans="1:16" ht="33.75" customHeight="1" thickBot="1">
      <c r="A3" s="1"/>
      <c r="E3" s="10">
        <v>40</v>
      </c>
      <c r="F3" s="10">
        <v>30</v>
      </c>
      <c r="G3" s="11">
        <f>MAX(протокол78д3[результат2])</f>
        <v>6.7</v>
      </c>
      <c r="H3" s="11">
        <v>20</v>
      </c>
      <c r="I3" s="11">
        <f>MIN(протокол78д3[результат (сек)5])</f>
        <v>195</v>
      </c>
      <c r="J3" s="11">
        <v>20</v>
      </c>
      <c r="K3" s="28">
        <f>MIN(протокол78д3[результат3 (сек)])</f>
        <v>80</v>
      </c>
      <c r="L3" s="29">
        <v>15</v>
      </c>
      <c r="M3" s="11">
        <f>MIN(протокол78д3[результат (сек)7])</f>
        <v>72</v>
      </c>
      <c r="N3" s="11">
        <v>15</v>
      </c>
      <c r="O3" s="10">
        <f>MAX(протокол78д3[зачетный балл9])</f>
        <v>86.756043581886274</v>
      </c>
    </row>
    <row r="4" spans="1:16" ht="46.5" customHeight="1" thickBot="1">
      <c r="B4" t="s">
        <v>28</v>
      </c>
      <c r="E4" s="113" t="s">
        <v>10</v>
      </c>
      <c r="F4" s="114"/>
      <c r="G4" s="113" t="s">
        <v>25</v>
      </c>
      <c r="H4" s="114"/>
      <c r="I4" s="113" t="s">
        <v>24</v>
      </c>
      <c r="J4" s="114"/>
      <c r="K4" s="108" t="s">
        <v>23</v>
      </c>
      <c r="L4" s="115"/>
      <c r="M4" s="113" t="s">
        <v>14</v>
      </c>
      <c r="N4" s="114"/>
      <c r="O4" s="30" t="s">
        <v>12</v>
      </c>
    </row>
    <row r="5" spans="1:16" ht="63" customHeight="1">
      <c r="A5" s="4" t="s">
        <v>2</v>
      </c>
      <c r="B5" s="3" t="s">
        <v>3</v>
      </c>
      <c r="C5" s="3" t="s">
        <v>0</v>
      </c>
      <c r="D5" s="17" t="s">
        <v>1</v>
      </c>
      <c r="E5" s="12" t="s">
        <v>4</v>
      </c>
      <c r="F5" s="13" t="s">
        <v>5</v>
      </c>
      <c r="G5" s="12" t="s">
        <v>16</v>
      </c>
      <c r="H5" s="13" t="s">
        <v>17</v>
      </c>
      <c r="I5" s="12" t="s">
        <v>18</v>
      </c>
      <c r="J5" s="13" t="s">
        <v>19</v>
      </c>
      <c r="K5" s="12" t="s">
        <v>26</v>
      </c>
      <c r="L5" s="13" t="s">
        <v>27</v>
      </c>
      <c r="M5" s="12" t="s">
        <v>20</v>
      </c>
      <c r="N5" s="13" t="s">
        <v>21</v>
      </c>
      <c r="O5" s="23" t="s">
        <v>22</v>
      </c>
      <c r="P5" s="25" t="s">
        <v>13</v>
      </c>
    </row>
    <row r="6" spans="1:16" ht="15.75">
      <c r="A6" s="2">
        <v>1</v>
      </c>
      <c r="B6" s="7" t="s">
        <v>80</v>
      </c>
      <c r="C6" s="6" t="s">
        <v>78</v>
      </c>
      <c r="D6" s="18" t="s">
        <v>97</v>
      </c>
      <c r="E6" s="14">
        <v>22.5</v>
      </c>
      <c r="F6" s="15">
        <f>IF(OR(ISTEXT(протокол78д3[[#This Row],[результат]]),протокол78д3[[#This Row],[результат]]=""),"",($F$3*протокол78д3[[#This Row],[результат]])/$E$3)</f>
        <v>16.875</v>
      </c>
      <c r="G6" s="14">
        <v>5.0999999999999996</v>
      </c>
      <c r="H6" s="15">
        <f>IF(OR(ISTEXT(протокол78д3[[#This Row],[результат2]]),протокол78д3[[#This Row],[результат2]]=""),"",($H$3*протокол78д3[[#This Row],[результат2]])/$G$3)</f>
        <v>15.223880597014926</v>
      </c>
      <c r="I6" s="20">
        <v>228</v>
      </c>
      <c r="J6" s="21">
        <f>IF(OR(ISTEXT(протокол78д3[[#This Row],[результат (сек)5]]),протокол78д3[[#This Row],[результат (сек)5]]=""),"",($J$3*$I$3)/протокол78д3[[#This Row],[результат (сек)5]])</f>
        <v>17.105263157894736</v>
      </c>
      <c r="K6" s="22">
        <v>80</v>
      </c>
      <c r="L6" s="21">
        <f>IF(OR(ISTEXT(протокол78д3[[#This Row],[результат3 (сек)]]),протокол78д3[[#This Row],[результат3 (сек)]]=""),"",($L$3*$K$3)/протокол78д3[[#This Row],[результат3 (сек)]])</f>
        <v>15</v>
      </c>
      <c r="M6" s="20">
        <v>72</v>
      </c>
      <c r="N6" s="21">
        <f>IF(OR(ISTEXT(протокол78д3[[#This Row],[результат (сек)7]]),протокол78д3[[#This Row],[результат (сек)7]]=""),"",($N$3*$M$3)/протокол78д3[[#This Row],[результат (сек)7]])</f>
        <v>15</v>
      </c>
      <c r="O6" s="24">
        <f>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(сек)7]])=4,0,IF(COUNT(протокол78д3[[#This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(сек)7]])&lt;4,"",SUM(протокол78д3[[#This Row],[зачетный балл]],протокол78д3[[#This Row],[зачетный балл3]],протокол78д3[[#This Row],[зачетный балл6]],протокол78д3[[#This Row],[зачетный балл72]],протокол78д3[[#This Row],[зачетный балл8]])))</f>
        <v>79.204143754909666</v>
      </c>
      <c r="P6" s="26" t="str">
        <f>IF(протокол78д3[[#This Row],[зачетный балл9]]="","",IF(протокол78д3[[#This Row],[зачетный балл9]]&lt;=50,"Участник",IF(протокол78д3[[#This Row],[зачетный балл9]]=$O$3,"Победитель",IF(COUNTIF([зачетный балл9],"&gt;="&amp;"0")/4&gt;=COUNTIF([зачетный балл9],"&gt;="&amp;протокол78д3[[#This Row],[зачетный балл9]]),"Призер","Участник"))))</f>
        <v>Участник</v>
      </c>
    </row>
    <row r="7" spans="1:16" ht="18.75">
      <c r="A7" s="2">
        <v>2</v>
      </c>
      <c r="B7" s="7" t="s">
        <v>81</v>
      </c>
      <c r="C7" s="6" t="s">
        <v>78</v>
      </c>
      <c r="D7" s="19" t="s">
        <v>98</v>
      </c>
      <c r="E7" s="14">
        <v>30</v>
      </c>
      <c r="F7" s="15">
        <f>IF(OR(ISTEXT(протокол78д3[[#This Row],[результат]]),протокол78д3[[#This Row],[результат]]=""),"",($F$3*протокол78д3[[#This Row],[результат]])/$E$3)</f>
        <v>22.5</v>
      </c>
      <c r="G7" s="14">
        <v>6.7</v>
      </c>
      <c r="H7" s="15">
        <f>IF(OR(ISTEXT(протокол78д3[[#This Row],[результат2]]),протокол78д3[[#This Row],[результат2]]=""),"",($H$3*протокол78д3[[#This Row],[результат2]])/$G$3)</f>
        <v>20</v>
      </c>
      <c r="I7" s="20">
        <v>195</v>
      </c>
      <c r="J7" s="21">
        <f>IF(OR(ISTEXT(протокол78д3[[#This Row],[результат (сек)5]]),протокол78д3[[#This Row],[результат (сек)5]]=""),"",($J$3*$I$3)/протокол78д3[[#This Row],[результат (сек)5]])</f>
        <v>20</v>
      </c>
      <c r="K7" s="22">
        <v>99</v>
      </c>
      <c r="L7" s="21">
        <f>IF(OR(ISTEXT(протокол78д3[[#This Row],[результат3 (сек)]]),протокол78д3[[#This Row],[результат3 (сек)]]=""),"",($L$3*$K$3)/протокол78д3[[#This Row],[результат3 (сек)]])</f>
        <v>12.121212121212121</v>
      </c>
      <c r="M7" s="20">
        <v>89</v>
      </c>
      <c r="N7" s="21">
        <f>IF(OR(ISTEXT(протокол78д3[[#This Row],[результат (сек)7]]),протокол78д3[[#This Row],[результат (сек)7]]=""),"",($N$3*$M$3)/протокол78д3[[#This Row],[результат (сек)7]])</f>
        <v>12.134831460674157</v>
      </c>
      <c r="O7" s="24">
        <f>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(сек)7]])=4,0,IF(COUNT(протокол78д3[[#This Row],[результат]],протокол78д3[[#This Row],[результат2]],протокол78д3[[#This Row],[результат (сек)5]],протокол78д3[[#This Row],[результат3 (сек)]],протокол78д3[[#This Row],[результат (сек)7]])&lt;4,"",SUM(протокол78д3[[#This Row],[зачетный балл]],протокол78д3[[#This Row],[зачетный балл3]],протокол78д3[[#This Row],[зачетный балл6]],протокол78д3[[#This Row],[зачетный балл72]],протокол78д3[[#This Row],[зачетный балл8]])))</f>
        <v>86.756043581886274</v>
      </c>
      <c r="P7" s="26" t="str">
        <f>IF(протокол78д3[[#This Row],[зачетный балл9]]="","",IF(протокол78д3[[#This Row],[зачетный балл9]]&lt;=50,"Участник",IF(протокол78д3[[#This Row],[зачетный балл9]]=$O$3,"Победитель",IF(COUNTIF([зачетный балл9],"&gt;="&amp;"0")/4&gt;=COUNTIF([зачетный балл9],"&gt;="&amp;протокол78д3[[#This Row],[зачетный балл9]]),"Призер","Участник"))))</f>
        <v>Победитель</v>
      </c>
    </row>
    <row r="9" spans="1:16" ht="15.75">
      <c r="A9" s="89"/>
    </row>
    <row r="11" spans="1:16" ht="15.75">
      <c r="A11" s="89"/>
      <c r="B11" s="89"/>
    </row>
    <row r="12" spans="1:16" ht="15.75">
      <c r="A12" s="89"/>
      <c r="B12" s="89"/>
      <c r="D12"/>
    </row>
    <row r="13" spans="1:16" ht="15.75">
      <c r="A13" s="89"/>
      <c r="B13" s="89"/>
      <c r="D13" t="s">
        <v>102</v>
      </c>
      <c r="H13" s="10" t="s">
        <v>104</v>
      </c>
    </row>
    <row r="14" spans="1:16" ht="15.75">
      <c r="A14" s="89"/>
      <c r="B14" s="89"/>
      <c r="D14"/>
    </row>
    <row r="15" spans="1:16">
      <c r="D15" t="s">
        <v>103</v>
      </c>
      <c r="H15" s="10" t="s">
        <v>105</v>
      </c>
    </row>
    <row r="16" spans="1:16">
      <c r="D16"/>
      <c r="H16" s="10" t="s">
        <v>106</v>
      </c>
    </row>
    <row r="17" spans="4:8">
      <c r="D17"/>
    </row>
    <row r="18" spans="4:8">
      <c r="D18"/>
    </row>
    <row r="19" spans="4:8">
      <c r="D19"/>
    </row>
    <row r="20" spans="4:8">
      <c r="D20"/>
    </row>
    <row r="21" spans="4:8">
      <c r="D21" t="s">
        <v>107</v>
      </c>
      <c r="H21" s="10" t="s">
        <v>108</v>
      </c>
    </row>
    <row r="22" spans="4:8">
      <c r="D22"/>
    </row>
  </sheetData>
  <mergeCells count="7">
    <mergeCell ref="A1:O1"/>
    <mergeCell ref="G2:N2"/>
    <mergeCell ref="E4:F4"/>
    <mergeCell ref="G4:H4"/>
    <mergeCell ref="I4:J4"/>
    <mergeCell ref="K4:L4"/>
    <mergeCell ref="M4:N4"/>
  </mergeCells>
  <pageMargins left="0.17234848484848486" right="0.3125" top="0.48214285714285715" bottom="0.75" header="0.3" footer="0.3"/>
  <pageSetup paperSize="9" scale="6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P27"/>
  <sheetViews>
    <sheetView view="pageLayout" topLeftCell="A7" zoomScaleNormal="85" workbookViewId="0">
      <selection activeCell="C18" sqref="C18:H28"/>
    </sheetView>
  </sheetViews>
  <sheetFormatPr defaultRowHeight="15"/>
  <cols>
    <col min="1" max="1" width="6" customWidth="1"/>
    <col min="2" max="2" width="44" customWidth="1"/>
    <col min="3" max="3" width="21.140625" customWidth="1"/>
    <col min="4" max="4" width="7.85546875" style="10" customWidth="1"/>
    <col min="5" max="5" width="12.7109375" style="10" customWidth="1"/>
    <col min="6" max="6" width="11.28515625" style="10" customWidth="1"/>
    <col min="7" max="7" width="13" style="10" customWidth="1"/>
    <col min="8" max="8" width="12" style="10" customWidth="1"/>
    <col min="9" max="9" width="13.7109375" style="10" customWidth="1"/>
    <col min="10" max="10" width="11.85546875" style="10" customWidth="1"/>
    <col min="11" max="11" width="12.42578125" style="10" customWidth="1"/>
    <col min="12" max="12" width="12" style="10" customWidth="1"/>
    <col min="13" max="13" width="13" style="10" customWidth="1"/>
    <col min="14" max="14" width="13.28515625" style="10" customWidth="1"/>
    <col min="15" max="15" width="14.85546875" style="10" customWidth="1"/>
    <col min="16" max="16" width="19.5703125" customWidth="1"/>
  </cols>
  <sheetData>
    <row r="1" spans="1:16" ht="70.5" customHeight="1">
      <c r="A1" s="116" t="s">
        <v>94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ht="33.75" customHeight="1" thickBot="1">
      <c r="A2" s="1" t="s">
        <v>6</v>
      </c>
      <c r="C2" s="10" t="s">
        <v>11</v>
      </c>
      <c r="G2" s="110" t="s">
        <v>9</v>
      </c>
      <c r="H2" s="111"/>
      <c r="I2" s="111"/>
      <c r="J2" s="111"/>
      <c r="K2" s="111"/>
      <c r="L2" s="111"/>
      <c r="M2" s="111"/>
      <c r="N2" s="112"/>
    </row>
    <row r="3" spans="1:16" ht="33.75" hidden="1" customHeight="1" thickBot="1">
      <c r="A3" s="1"/>
      <c r="E3" s="10">
        <v>36</v>
      </c>
      <c r="F3" s="10">
        <v>30</v>
      </c>
      <c r="G3" s="11">
        <f>MAX(протокол911ю[результат2])</f>
        <v>8.5</v>
      </c>
      <c r="H3" s="11">
        <v>20</v>
      </c>
      <c r="I3" s="11">
        <f>MIN(протокол911ю[результат (сек)5])</f>
        <v>330</v>
      </c>
      <c r="J3" s="11">
        <v>20</v>
      </c>
      <c r="K3" s="28">
        <f>MIN(протокол911ю[результат3 (сек)])</f>
        <v>60</v>
      </c>
      <c r="L3" s="29">
        <v>15</v>
      </c>
      <c r="M3" s="11">
        <f>MIN(протокол911ю[результат (сек)7])</f>
        <v>84</v>
      </c>
      <c r="N3" s="11">
        <v>15</v>
      </c>
      <c r="O3" s="10">
        <f>MAX(протокол911ю[зачетный балл9])</f>
        <v>83.101374570446723</v>
      </c>
    </row>
    <row r="4" spans="1:16" ht="46.5" customHeight="1" thickBot="1">
      <c r="B4" t="s">
        <v>28</v>
      </c>
      <c r="E4" s="113" t="s">
        <v>10</v>
      </c>
      <c r="F4" s="114"/>
      <c r="G4" s="113" t="s">
        <v>25</v>
      </c>
      <c r="H4" s="114"/>
      <c r="I4" s="113" t="s">
        <v>24</v>
      </c>
      <c r="J4" s="114"/>
      <c r="K4" s="108" t="s">
        <v>23</v>
      </c>
      <c r="L4" s="115"/>
      <c r="M4" s="113" t="s">
        <v>14</v>
      </c>
      <c r="N4" s="114"/>
      <c r="O4" s="30" t="s">
        <v>12</v>
      </c>
    </row>
    <row r="5" spans="1:16" ht="63" customHeight="1">
      <c r="A5" s="4" t="s">
        <v>2</v>
      </c>
      <c r="B5" s="3" t="s">
        <v>3</v>
      </c>
      <c r="C5" s="3" t="s">
        <v>0</v>
      </c>
      <c r="D5" s="17" t="s">
        <v>1</v>
      </c>
      <c r="E5" s="12" t="s">
        <v>4</v>
      </c>
      <c r="F5" s="13" t="s">
        <v>5</v>
      </c>
      <c r="G5" s="12" t="s">
        <v>16</v>
      </c>
      <c r="H5" s="13" t="s">
        <v>17</v>
      </c>
      <c r="I5" s="12" t="s">
        <v>18</v>
      </c>
      <c r="J5" s="13" t="s">
        <v>19</v>
      </c>
      <c r="K5" s="12" t="s">
        <v>26</v>
      </c>
      <c r="L5" s="13" t="s">
        <v>27</v>
      </c>
      <c r="M5" s="12" t="s">
        <v>20</v>
      </c>
      <c r="N5" s="13" t="s">
        <v>21</v>
      </c>
      <c r="O5" s="23" t="s">
        <v>22</v>
      </c>
      <c r="P5" s="25" t="s">
        <v>13</v>
      </c>
    </row>
    <row r="6" spans="1:16" ht="15.75">
      <c r="A6" s="2">
        <v>1</v>
      </c>
      <c r="B6" s="8" t="s">
        <v>85</v>
      </c>
      <c r="C6" s="6" t="s">
        <v>78</v>
      </c>
      <c r="D6" s="72" t="s">
        <v>93</v>
      </c>
      <c r="E6" s="79">
        <v>25</v>
      </c>
      <c r="F6" s="15">
        <f>IF(OR(ISTEXT(протокол911ю[[#This Row],[результат]]),протокол911ю[[#This Row],[результат]]=""),"",($F$3*протокол911ю[[#This Row],[результат]])/$E$3)</f>
        <v>20.833333333333332</v>
      </c>
      <c r="G6" s="79">
        <v>8.5</v>
      </c>
      <c r="H6" s="15">
        <f>IF(OR(ISTEXT(протокол911ю[[#This Row],[результат2]]),протокол911ю[[#This Row],[результат2]]=""),"",($H$3*протокол911ю[[#This Row],[результат2]])/$G$3)</f>
        <v>20</v>
      </c>
      <c r="I6" s="77">
        <v>330</v>
      </c>
      <c r="J6" s="21">
        <f>IF(OR(ISTEXT(протокол911ю[[#This Row],[результат (сек)5]]),протокол911ю[[#This Row],[результат (сек)5]]=""),"",($J$3*$I$3)/протокол911ю[[#This Row],[результат (сек)5]])</f>
        <v>20</v>
      </c>
      <c r="K6" s="22">
        <v>97</v>
      </c>
      <c r="L6" s="21">
        <f>IF(OR(ISTEXT(протокол911ю[[#This Row],[результат3 (сек)]]),протокол911ю[[#This Row],[результат3 (сек)]]=""),"",($L$3*$K$3)/протокол911ю[[#This Row],[результат3 (сек)]])</f>
        <v>9.2783505154639183</v>
      </c>
      <c r="M6" s="16">
        <v>97</v>
      </c>
      <c r="N6" s="21">
        <f>IF(OR(ISTEXT(протокол911ю[[#This Row],[результат (сек)7]]),протокол911ю[[#This Row],[результат (сек)7]]=""),"",($N$3*$M$3)/протокол911ю[[#This Row],[результат (сек)7]])</f>
        <v>12.989690721649485</v>
      </c>
      <c r="O6" s="24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83.101374570446723</v>
      </c>
      <c r="P6" s="27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Победитель</v>
      </c>
    </row>
    <row r="7" spans="1:16" ht="15.75">
      <c r="A7" s="2">
        <v>2</v>
      </c>
      <c r="B7" s="8" t="s">
        <v>86</v>
      </c>
      <c r="C7" s="6" t="s">
        <v>78</v>
      </c>
      <c r="D7" s="72" t="s">
        <v>93</v>
      </c>
      <c r="E7" s="79">
        <v>27</v>
      </c>
      <c r="F7" s="63">
        <f>IF(OR(ISTEXT(протокол911ю[[#This Row],[результат]]),протокол911ю[[#This Row],[результат]]=""),"",($F$3*протокол911ю[[#This Row],[результат]])/$E$3)</f>
        <v>22.5</v>
      </c>
      <c r="G7" s="79">
        <v>6.9</v>
      </c>
      <c r="H7" s="63">
        <f>IF(OR(ISTEXT(протокол911ю[[#This Row],[результат2]]),протокол911ю[[#This Row],[результат2]]=""),"",($H$3*протокол911ю[[#This Row],[результат2]])/$G$3)</f>
        <v>16.235294117647058</v>
      </c>
      <c r="I7" s="77">
        <v>340</v>
      </c>
      <c r="J7" s="65">
        <f>IF(OR(ISTEXT(протокол911ю[[#This Row],[результат (сек)5]]),протокол911ю[[#This Row],[результат (сек)5]]=""),"",($J$3*$I$3)/протокол911ю[[#This Row],[результат (сек)5]])</f>
        <v>19.411764705882351</v>
      </c>
      <c r="K7" s="100">
        <v>106</v>
      </c>
      <c r="L7" s="65">
        <f>IF(OR(ISTEXT(протокол911ю[[#This Row],[результат3 (сек)]]),протокол911ю[[#This Row],[результат3 (сек)]]=""),"",($L$3*$K$3)/протокол911ю[[#This Row],[результат3 (сек)]])</f>
        <v>8.4905660377358494</v>
      </c>
      <c r="M7" s="64">
        <v>87</v>
      </c>
      <c r="N7" s="65">
        <f>IF(OR(ISTEXT(протокол911ю[[#This Row],[результат (сек)7]]),протокол911ю[[#This Row],[результат (сек)7]]=""),"",($N$3*$M$3)/протокол911ю[[#This Row],[результат (сек)7]])</f>
        <v>14.482758620689655</v>
      </c>
      <c r="O7" s="68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81.120383481954903</v>
      </c>
      <c r="P7" s="69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Призер</v>
      </c>
    </row>
    <row r="8" spans="1:16" ht="15.75">
      <c r="A8" s="2">
        <v>3</v>
      </c>
      <c r="B8" s="7" t="s">
        <v>83</v>
      </c>
      <c r="C8" s="6" t="s">
        <v>78</v>
      </c>
      <c r="D8" s="18" t="s">
        <v>92</v>
      </c>
      <c r="E8" s="14">
        <v>22</v>
      </c>
      <c r="F8" s="15">
        <f>IF(OR(ISTEXT(протокол911ю[[#This Row],[результат]]),протокол911ю[[#This Row],[результат]]=""),"",($F$3*протокол911ю[[#This Row],[результат]])/$E$3)</f>
        <v>18.333333333333332</v>
      </c>
      <c r="G8" s="14">
        <v>8</v>
      </c>
      <c r="H8" s="15">
        <f>IF(OR(ISTEXT(протокол911ю[[#This Row],[результат2]]),протокол911ю[[#This Row],[результат2]]=""),"",($H$3*протокол911ю[[#This Row],[результат2]])/$G$3)</f>
        <v>18.823529411764707</v>
      </c>
      <c r="I8" s="20">
        <v>360</v>
      </c>
      <c r="J8" s="21">
        <f>IF(OR(ISTEXT(протокол911ю[[#This Row],[результат (сек)5]]),протокол911ю[[#This Row],[результат (сек)5]]=""),"",($J$3*$I$3)/протокол911ю[[#This Row],[результат (сек)5]])</f>
        <v>18.333333333333332</v>
      </c>
      <c r="K8" s="22">
        <v>89</v>
      </c>
      <c r="L8" s="21">
        <f>IF(OR(ISTEXT(протокол911ю[[#This Row],[результат3 (сек)]]),протокол911ю[[#This Row],[результат3 (сек)]]=""),"",($L$3*$K$3)/протокол911ю[[#This Row],[результат3 (сек)]])</f>
        <v>10.112359550561798</v>
      </c>
      <c r="M8" s="20">
        <v>87</v>
      </c>
      <c r="N8" s="21">
        <f>IF(OR(ISTEXT(протокол911ю[[#This Row],[результат (сек)7]]),протокол911ю[[#This Row],[результат (сек)7]]=""),"",($N$3*$M$3)/протокол911ю[[#This Row],[результат (сек)7]])</f>
        <v>14.482758620689655</v>
      </c>
      <c r="O8" s="24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80.085314249682824</v>
      </c>
      <c r="P8" s="26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9" spans="1:16" ht="15.75">
      <c r="A9" s="2">
        <v>4</v>
      </c>
      <c r="B9" s="7" t="s">
        <v>88</v>
      </c>
      <c r="C9" s="6" t="s">
        <v>78</v>
      </c>
      <c r="D9" s="18" t="s">
        <v>92</v>
      </c>
      <c r="E9" s="14">
        <v>23</v>
      </c>
      <c r="F9" s="63">
        <f>IF(OR(ISTEXT(протокол911ю[[#This Row],[результат]]),протокол911ю[[#This Row],[результат]]=""),"",($F$3*протокол911ю[[#This Row],[результат]])/$E$3)</f>
        <v>19.166666666666668</v>
      </c>
      <c r="G9" s="14">
        <v>5.5</v>
      </c>
      <c r="H9" s="63">
        <f>IF(OR(ISTEXT(протокол911ю[[#This Row],[результат2]]),протокол911ю[[#This Row],[результат2]]=""),"",($H$3*протокол911ю[[#This Row],[результат2]])/$G$3)</f>
        <v>12.941176470588236</v>
      </c>
      <c r="I9" s="20">
        <v>360</v>
      </c>
      <c r="J9" s="65">
        <f>IF(OR(ISTEXT(протокол911ю[[#This Row],[результат (сек)5]]),протокол911ю[[#This Row],[результат (сек)5]]=""),"",($J$3*$I$3)/протокол911ю[[#This Row],[результат (сек)5]])</f>
        <v>18.333333333333332</v>
      </c>
      <c r="K9" s="100">
        <v>60</v>
      </c>
      <c r="L9" s="65">
        <f>IF(OR(ISTEXT(протокол911ю[[#This Row],[результат3 (сек)]]),протокол911ю[[#This Row],[результат3 (сек)]]=""),"",($L$3*$K$3)/протокол911ю[[#This Row],[результат3 (сек)]])</f>
        <v>15</v>
      </c>
      <c r="M9" s="64">
        <v>84</v>
      </c>
      <c r="N9" s="65">
        <f>IF(OR(ISTEXT(протокол911ю[[#This Row],[результат (сек)7]]),протокол911ю[[#This Row],[результат (сек)7]]=""),"",($N$3*$M$3)/протокол911ю[[#This Row],[результат (сек)7]])</f>
        <v>15</v>
      </c>
      <c r="O9" s="68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80.441176470588232</v>
      </c>
      <c r="P9" s="69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0" spans="1:16" ht="15.75">
      <c r="A10" s="2">
        <v>5</v>
      </c>
      <c r="B10" s="7" t="s">
        <v>84</v>
      </c>
      <c r="C10" s="6" t="s">
        <v>78</v>
      </c>
      <c r="D10" s="91" t="s">
        <v>92</v>
      </c>
      <c r="E10" s="14">
        <v>22</v>
      </c>
      <c r="F10" s="15">
        <f>IF(OR(ISTEXT(протокол911ю[[#This Row],[результат]]),протокол911ю[[#This Row],[результат]]=""),"",($F$3*протокол911ю[[#This Row],[результат]])/$E$3)</f>
        <v>18.333333333333332</v>
      </c>
      <c r="G10" s="14">
        <v>5.0999999999999996</v>
      </c>
      <c r="H10" s="15">
        <f>IF(OR(ISTEXT(протокол911ю[[#This Row],[результат2]]),протокол911ю[[#This Row],[результат2]]=""),"",($H$3*протокол911ю[[#This Row],[результат2]])/$G$3)</f>
        <v>12</v>
      </c>
      <c r="I10" s="20">
        <v>360</v>
      </c>
      <c r="J10" s="21">
        <f>IF(OR(ISTEXT(протокол911ю[[#This Row],[результат (сек)5]]),протокол911ю[[#This Row],[результат (сек)5]]=""),"",($J$3*$I$3)/протокол911ю[[#This Row],[результат (сек)5]])</f>
        <v>18.333333333333332</v>
      </c>
      <c r="K10" s="101">
        <v>72</v>
      </c>
      <c r="L10" s="102">
        <f>IF(OR(ISTEXT(протокол911ю[[#This Row],[результат3 (сек)]]),протокол911ю[[#This Row],[результат3 (сек)]]=""),"",($L$3*$K$3)/протокол911ю[[#This Row],[результат3 (сек)]])</f>
        <v>12.5</v>
      </c>
      <c r="M10" s="20">
        <v>109</v>
      </c>
      <c r="N10" s="21">
        <f>IF(OR(ISTEXT(протокол911ю[[#This Row],[результат (сек)7]]),протокол911ю[[#This Row],[результат (сек)7]]=""),"",($N$3*$M$3)/протокол911ю[[#This Row],[результат (сек)7]])</f>
        <v>11.559633027522937</v>
      </c>
      <c r="O10" s="24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72.726299694189606</v>
      </c>
      <c r="P10" s="26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1" spans="1:16" ht="15.75">
      <c r="A11" s="70">
        <v>6</v>
      </c>
      <c r="B11" s="59" t="s">
        <v>89</v>
      </c>
      <c r="C11" s="71" t="s">
        <v>78</v>
      </c>
      <c r="D11" s="74" t="s">
        <v>91</v>
      </c>
      <c r="E11" s="81">
        <v>21</v>
      </c>
      <c r="F11" s="63">
        <f>IF(OR(ISTEXT(протокол911ю[[#This Row],[результат]]),протокол911ю[[#This Row],[результат]]=""),"",($F$3*протокол911ю[[#This Row],[результат]])/$E$3)</f>
        <v>17.5</v>
      </c>
      <c r="G11" s="81">
        <v>6</v>
      </c>
      <c r="H11" s="63">
        <f>IF(OR(ISTEXT(протокол911ю[[#This Row],[результат2]]),протокол911ю[[#This Row],[результат2]]=""),"",($H$3*протокол911ю[[#This Row],[результат2]])/$G$3)</f>
        <v>14.117647058823529</v>
      </c>
      <c r="I11" s="78">
        <v>371</v>
      </c>
      <c r="J11" s="65">
        <f>IF(OR(ISTEXT(протокол911ю[[#This Row],[результат (сек)5]]),протокол911ю[[#This Row],[результат (сек)5]]=""),"",($J$3*$I$3)/протокол911ю[[#This Row],[результат (сек)5]])</f>
        <v>17.78975741239892</v>
      </c>
      <c r="K11" s="66">
        <v>120</v>
      </c>
      <c r="L11" s="67">
        <f>IF(OR(ISTEXT(протокол911ю[[#This Row],[результат3 (сек)]]),протокол911ю[[#This Row],[результат3 (сек)]]=""),"",($L$3*$K$3)/протокол911ю[[#This Row],[результат3 (сек)]])</f>
        <v>7.5</v>
      </c>
      <c r="M11" s="64">
        <v>97</v>
      </c>
      <c r="N11" s="65">
        <f>IF(OR(ISTEXT(протокол911ю[[#This Row],[результат (сек)7]]),протокол911ю[[#This Row],[результат (сек)7]]=""),"",($N$3*$M$3)/протокол911ю[[#This Row],[результат (сек)7]])</f>
        <v>12.989690721649485</v>
      </c>
      <c r="O11" s="68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69.89709519287193</v>
      </c>
      <c r="P11" s="69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2" spans="1:16" ht="15.75">
      <c r="A12" s="2">
        <v>7</v>
      </c>
      <c r="B12" s="8" t="s">
        <v>90</v>
      </c>
      <c r="C12" s="6" t="s">
        <v>78</v>
      </c>
      <c r="D12" s="90" t="s">
        <v>92</v>
      </c>
      <c r="E12" s="79">
        <v>17</v>
      </c>
      <c r="F12" s="63">
        <f>IF(OR(ISTEXT(протокол911ю[[#This Row],[результат]]),протокол911ю[[#This Row],[результат]]=""),"",($F$3*протокол911ю[[#This Row],[результат]])/$E$3)</f>
        <v>14.166666666666666</v>
      </c>
      <c r="G12" s="79">
        <v>7.5</v>
      </c>
      <c r="H12" s="63">
        <f>IF(OR(ISTEXT(протокол911ю[[#This Row],[результат2]]),протокол911ю[[#This Row],[результат2]]=""),"",($H$3*протокол911ю[[#This Row],[результат2]])/$G$3)</f>
        <v>17.647058823529413</v>
      </c>
      <c r="I12" s="77">
        <v>374</v>
      </c>
      <c r="J12" s="65">
        <f>IF(OR(ISTEXT(протокол911ю[[#This Row],[результат (сек)5]]),протокол911ю[[#This Row],[результат (сек)5]]=""),"",($J$3*$I$3)/протокол911ю[[#This Row],[результат (сек)5]])</f>
        <v>17.647058823529413</v>
      </c>
      <c r="K12" s="66">
        <v>178</v>
      </c>
      <c r="L12" s="67">
        <f>IF(OR(ISTEXT(протокол911ю[[#This Row],[результат3 (сек)]]),протокол911ю[[#This Row],[результат3 (сек)]]=""),"",($L$3*$K$3)/протокол911ю[[#This Row],[результат3 (сек)]])</f>
        <v>5.0561797752808992</v>
      </c>
      <c r="M12" s="64">
        <v>98</v>
      </c>
      <c r="N12" s="65">
        <f>IF(OR(ISTEXT(протокол911ю[[#This Row],[результат (сек)7]]),протокол911ю[[#This Row],[результат (сек)7]]=""),"",($N$3*$M$3)/протокол911ю[[#This Row],[результат (сек)7]])</f>
        <v>12.857142857142858</v>
      </c>
      <c r="O12" s="68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67.374106946149254</v>
      </c>
      <c r="P12" s="69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3" spans="1:16" ht="15.75">
      <c r="A13" s="2">
        <v>8</v>
      </c>
      <c r="B13" s="8" t="s">
        <v>87</v>
      </c>
      <c r="C13" s="6" t="s">
        <v>78</v>
      </c>
      <c r="D13" s="90" t="s">
        <v>91</v>
      </c>
      <c r="E13" s="79">
        <v>18</v>
      </c>
      <c r="F13" s="63">
        <f>IF(OR(ISTEXT(протокол911ю[[#This Row],[результат]]),протокол911ю[[#This Row],[результат]]=""),"",($F$3*протокол911ю[[#This Row],[результат]])/$E$3)</f>
        <v>15</v>
      </c>
      <c r="G13" s="79">
        <v>5.9</v>
      </c>
      <c r="H13" s="63">
        <f>IF(OR(ISTEXT(протокол911ю[[#This Row],[результат2]]),протокол911ю[[#This Row],[результат2]]=""),"",($H$3*протокол911ю[[#This Row],[результат2]])/$G$3)</f>
        <v>13.882352941176471</v>
      </c>
      <c r="I13" s="77">
        <v>407</v>
      </c>
      <c r="J13" s="65">
        <f>IF(OR(ISTEXT(протокол911ю[[#This Row],[результат (сек)5]]),протокол911ю[[#This Row],[результат (сек)5]]=""),"",($J$3*$I$3)/протокол911ю[[#This Row],[результат (сек)5]])</f>
        <v>16.216216216216218</v>
      </c>
      <c r="K13" s="66">
        <v>120</v>
      </c>
      <c r="L13" s="67">
        <f>IF(OR(ISTEXT(протокол911ю[[#This Row],[результат3 (сек)]]),протокол911ю[[#This Row],[результат3 (сек)]]=""),"",($L$3*$K$3)/протокол911ю[[#This Row],[результат3 (сек)]])</f>
        <v>7.5</v>
      </c>
      <c r="M13" s="64">
        <v>102</v>
      </c>
      <c r="N13" s="65">
        <f>IF(OR(ISTEXT(протокол911ю[[#This Row],[результат (сек)7]]),протокол911ю[[#This Row],[результат (сек)7]]=""),"",($N$3*$M$3)/протокол911ю[[#This Row],[результат (сек)7]])</f>
        <v>12.352941176470589</v>
      </c>
      <c r="O13" s="68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64.951510333863283</v>
      </c>
      <c r="P13" s="69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4" spans="1:16" ht="15.75">
      <c r="A14" s="2">
        <v>9</v>
      </c>
      <c r="B14" s="8" t="s">
        <v>82</v>
      </c>
      <c r="C14" s="6" t="s">
        <v>78</v>
      </c>
      <c r="D14" s="97" t="s">
        <v>91</v>
      </c>
      <c r="E14" s="16">
        <v>13</v>
      </c>
      <c r="F14" s="15">
        <f>IF(OR(ISTEXT(протокол911ю[[#This Row],[результат]]),протокол911ю[[#This Row],[результат]]=""),"",($F$3*протокол911ю[[#This Row],[результат]])/$E$3)</f>
        <v>10.833333333333334</v>
      </c>
      <c r="G14" s="16">
        <v>5.9</v>
      </c>
      <c r="H14" s="15">
        <f>IF(OR(ISTEXT(протокол911ю[[#This Row],[результат2]]),протокол911ю[[#This Row],[результат2]]=""),"",($H$3*протокол911ю[[#This Row],[результат2]])/$G$3)</f>
        <v>13.882352941176471</v>
      </c>
      <c r="I14" s="16">
        <v>384</v>
      </c>
      <c r="J14" s="21">
        <f>IF(OR(ISTEXT(протокол911ю[[#This Row],[результат (сек)5]]),протокол911ю[[#This Row],[результат (сек)5]]=""),"",($J$3*$I$3)/протокол911ю[[#This Row],[результат (сек)5]])</f>
        <v>17.1875</v>
      </c>
      <c r="K14" s="101">
        <v>115</v>
      </c>
      <c r="L14" s="102">
        <f>IF(OR(ISTEXT(протокол911ю[[#This Row],[результат3 (сек)]]),протокол911ю[[#This Row],[результат3 (сек)]]=""),"",($L$3*$K$3)/протокол911ю[[#This Row],[результат3 (сек)]])</f>
        <v>7.8260869565217392</v>
      </c>
      <c r="M14" s="20">
        <v>99</v>
      </c>
      <c r="N14" s="21">
        <f>IF(OR(ISTEXT(протокол911ю[[#This Row],[результат (сек)7]]),протокол911ю[[#This Row],[результат (сек)7]]=""),"",($N$3*$M$3)/протокол911ю[[#This Row],[результат (сек)7]])</f>
        <v>12.727272727272727</v>
      </c>
      <c r="O14" s="24">
        <f>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(сек)7]])=4,0,IF(COUNT(протокол911ю[[#This Row],[результат]],протокол911ю[[#This Row],[результат2]],протокол911ю[[#This Row],[результат (сек)5]],протокол911ю[[#This Row],[результат3 (сек)]],протокол911ю[[#This Row],[результат (сек)7]])&lt;4,"",SUM(протокол911ю[[#This Row],[зачетный балл]],протокол911ю[[#This Row],[зачетный балл3]],протокол911ю[[#This Row],[зачетный балл6]],протокол911ю[[#This Row],[зачетный балл72]],протокол911ю[[#This Row],[зачетный балл8]])))</f>
        <v>62.456545958304275</v>
      </c>
      <c r="P14" s="26" t="str">
        <f>IF(протокол911ю[[#This Row],[зачетный балл9]]="","",IF(протокол911ю[[#This Row],[зачетный балл9]]&lt;=50,"Участник",IF(протокол911ю[[#This Row],[зачетный балл9]]=$O$3,"Победитель",IF(COUNTIF([зачетный балл9],"&gt;="&amp;"0")/4&gt;=COUNTIF([зачетный балл9],"&gt;="&amp;протокол911ю[[#This Row],[зачетный балл9]]),"Призер","Участник"))))</f>
        <v>Участник</v>
      </c>
    </row>
    <row r="16" spans="1:16" ht="15.75">
      <c r="A16" s="89"/>
    </row>
    <row r="18" spans="1:7" ht="15.75">
      <c r="A18" s="89"/>
      <c r="B18" s="89"/>
    </row>
    <row r="19" spans="1:7" ht="15.75">
      <c r="A19" s="89"/>
      <c r="B19" s="89"/>
      <c r="C19" t="s">
        <v>102</v>
      </c>
      <c r="G19" s="10" t="s">
        <v>104</v>
      </c>
    </row>
    <row r="20" spans="1:7" ht="15.75">
      <c r="A20" s="89"/>
      <c r="B20" s="89"/>
    </row>
    <row r="21" spans="1:7" ht="15.75">
      <c r="A21" s="89"/>
      <c r="B21" s="89"/>
      <c r="C21" t="s">
        <v>103</v>
      </c>
      <c r="G21" s="10" t="s">
        <v>105</v>
      </c>
    </row>
    <row r="22" spans="1:7">
      <c r="G22" s="10" t="s">
        <v>106</v>
      </c>
    </row>
    <row r="27" spans="1:7">
      <c r="C27" t="s">
        <v>107</v>
      </c>
      <c r="G27" s="10" t="s">
        <v>108</v>
      </c>
    </row>
  </sheetData>
  <mergeCells count="7">
    <mergeCell ref="A1:O1"/>
    <mergeCell ref="G2:N2"/>
    <mergeCell ref="E4:F4"/>
    <mergeCell ref="G4:H4"/>
    <mergeCell ref="I4:J4"/>
    <mergeCell ref="K4:L4"/>
    <mergeCell ref="M4:N4"/>
  </mergeCells>
  <pageMargins left="0.21875" right="0.16666666666666666" top="0.48214285714285715" bottom="0.75" header="0.3" footer="0.3"/>
  <pageSetup paperSize="9" scale="6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P22"/>
  <sheetViews>
    <sheetView tabSelected="1" view="pageLayout" topLeftCell="D4" zoomScaleNormal="85" workbookViewId="0">
      <selection activeCell="H12" sqref="H12:M22"/>
    </sheetView>
  </sheetViews>
  <sheetFormatPr defaultRowHeight="15"/>
  <cols>
    <col min="1" max="1" width="4.42578125" style="39" customWidth="1"/>
    <col min="2" max="2" width="44.140625" style="39" customWidth="1"/>
    <col min="3" max="3" width="20.85546875" style="39" customWidth="1"/>
    <col min="4" max="4" width="7.85546875" style="31" customWidth="1"/>
    <col min="5" max="5" width="12.7109375" style="31" customWidth="1"/>
    <col min="6" max="6" width="11.28515625" style="31" customWidth="1"/>
    <col min="7" max="7" width="12.85546875" style="31" customWidth="1"/>
    <col min="8" max="8" width="12" style="31" customWidth="1"/>
    <col min="9" max="9" width="13.7109375" style="31" customWidth="1"/>
    <col min="10" max="10" width="12.28515625" style="31" customWidth="1"/>
    <col min="11" max="11" width="12.42578125" style="31" customWidth="1"/>
    <col min="12" max="12" width="12" style="31" customWidth="1"/>
    <col min="13" max="13" width="13" style="31" customWidth="1"/>
    <col min="14" max="14" width="13.28515625" style="31" customWidth="1"/>
    <col min="15" max="15" width="14.85546875" style="31" customWidth="1"/>
    <col min="16" max="16" width="18.28515625" style="39" customWidth="1"/>
    <col min="17" max="16384" width="9.140625" style="39"/>
  </cols>
  <sheetData>
    <row r="1" spans="1:16" ht="76.5" customHeight="1" thickBot="1">
      <c r="A1" s="117" t="s">
        <v>101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ht="33.75" customHeight="1" thickBot="1">
      <c r="A2" s="40" t="s">
        <v>6</v>
      </c>
      <c r="C2" s="31" t="s">
        <v>31</v>
      </c>
      <c r="G2" s="118" t="s">
        <v>9</v>
      </c>
      <c r="H2" s="119"/>
      <c r="I2" s="119"/>
      <c r="J2" s="119"/>
      <c r="K2" s="119"/>
      <c r="L2" s="119"/>
      <c r="M2" s="119"/>
      <c r="N2" s="120"/>
    </row>
    <row r="3" spans="1:16" ht="33.75" customHeight="1" thickBot="1">
      <c r="A3" s="40"/>
      <c r="E3" s="31">
        <v>36</v>
      </c>
      <c r="F3" s="31">
        <v>30</v>
      </c>
      <c r="G3" s="32">
        <f>MAX(протокол911д4[результат2])</f>
        <v>6.6</v>
      </c>
      <c r="H3" s="32">
        <v>20</v>
      </c>
      <c r="I3" s="32">
        <f>MIN(протокол911д4[результат (сек)5])</f>
        <v>258</v>
      </c>
      <c r="J3" s="32">
        <v>20</v>
      </c>
      <c r="K3" s="33">
        <f>MIN(протокол911д4[результат3 (сек)])</f>
        <v>86</v>
      </c>
      <c r="L3" s="34">
        <v>15</v>
      </c>
      <c r="M3" s="32">
        <f>MIN(протокол911д4[результат (сек)7])</f>
        <v>97</v>
      </c>
      <c r="N3" s="32">
        <v>15</v>
      </c>
      <c r="O3" s="31">
        <f>MAX(протокол911д4[зачетный балл9])</f>
        <v>84.166666666666657</v>
      </c>
    </row>
    <row r="4" spans="1:16" ht="46.5" customHeight="1" thickBot="1">
      <c r="B4" s="39" t="s">
        <v>28</v>
      </c>
      <c r="E4" s="121" t="s">
        <v>10</v>
      </c>
      <c r="F4" s="122"/>
      <c r="G4" s="121" t="s">
        <v>25</v>
      </c>
      <c r="H4" s="122"/>
      <c r="I4" s="121" t="s">
        <v>24</v>
      </c>
      <c r="J4" s="122"/>
      <c r="K4" s="123" t="s">
        <v>23</v>
      </c>
      <c r="L4" s="124"/>
      <c r="M4" s="121" t="s">
        <v>14</v>
      </c>
      <c r="N4" s="122"/>
      <c r="O4" s="41" t="s">
        <v>12</v>
      </c>
    </row>
    <row r="5" spans="1:16" ht="63" customHeight="1" thickBot="1">
      <c r="A5" s="42" t="s">
        <v>2</v>
      </c>
      <c r="B5" s="43" t="s">
        <v>3</v>
      </c>
      <c r="C5" s="43" t="s">
        <v>0</v>
      </c>
      <c r="D5" s="44" t="s">
        <v>1</v>
      </c>
      <c r="E5" s="45" t="s">
        <v>4</v>
      </c>
      <c r="F5" s="46" t="s">
        <v>5</v>
      </c>
      <c r="G5" s="45" t="s">
        <v>16</v>
      </c>
      <c r="H5" s="46" t="s">
        <v>17</v>
      </c>
      <c r="I5" s="45" t="s">
        <v>18</v>
      </c>
      <c r="J5" s="46" t="s">
        <v>19</v>
      </c>
      <c r="K5" s="45" t="s">
        <v>26</v>
      </c>
      <c r="L5" s="46" t="s">
        <v>27</v>
      </c>
      <c r="M5" s="45" t="s">
        <v>20</v>
      </c>
      <c r="N5" s="46" t="s">
        <v>21</v>
      </c>
      <c r="O5" s="47" t="s">
        <v>22</v>
      </c>
      <c r="P5" s="47" t="s">
        <v>13</v>
      </c>
    </row>
    <row r="6" spans="1:16" ht="15.75">
      <c r="A6" s="92">
        <v>1</v>
      </c>
      <c r="B6" s="93" t="s">
        <v>95</v>
      </c>
      <c r="C6" s="94" t="s">
        <v>78</v>
      </c>
      <c r="D6" s="95" t="s">
        <v>96</v>
      </c>
      <c r="E6" s="96">
        <v>17</v>
      </c>
      <c r="F6" s="35">
        <f>IF(OR(ISTEXT(протокол911д4[[#This Row],[результат]]),протокол911д4[[#This Row],[результат]]=""),"",($F$3*протокол911д4[[#This Row],[результат]])/$E$3)</f>
        <v>14.166666666666666</v>
      </c>
      <c r="G6" s="96">
        <v>6.6</v>
      </c>
      <c r="H6" s="35">
        <f>IF(OR(ISTEXT(протокол911д4[[#This Row],[результат2]]),протокол911д4[[#This Row],[результат2]]=""),"",($H$3*протокол911д4[[#This Row],[результат2]])/$G$3)</f>
        <v>20</v>
      </c>
      <c r="I6" s="48">
        <v>258</v>
      </c>
      <c r="J6" s="36">
        <f>IF(OR(ISTEXT(протокол911д4[[#This Row],[результат (сек)5]]),протокол911д4[[#This Row],[результат (сек)5]]=""),"",($J$3*$I$3)/протокол911д4[[#This Row],[результат (сек)5]])</f>
        <v>20</v>
      </c>
      <c r="K6" s="49">
        <v>86</v>
      </c>
      <c r="L6" s="36">
        <f>IF(OR(ISTEXT(протокол911д4[[#This Row],[результат3 (сек)]]),протокол911д4[[#This Row],[результат3 (сек)]]=""),"",($L$3*$K$3)/протокол911д4[[#This Row],[результат3 (сек)]])</f>
        <v>15</v>
      </c>
      <c r="M6" s="48">
        <v>97</v>
      </c>
      <c r="N6" s="36">
        <f>IF(OR(ISTEXT(протокол911д4[[#This Row],[результат (сек)7]]),протокол911д4[[#This Row],[результат (сек)7]]=""),"",($N$3*$M$3)/протокол911д4[[#This Row],[результат (сек)7]])</f>
        <v>15</v>
      </c>
      <c r="O6" s="37">
        <f>IF(COUNT(протокол911д4[[#This Row],[результат]],протокол911д4[[#This Row],[результат2]],протокол911д4[[#This Row],[результат (сек)5]],протокол911д4[[#This Row],[результат3 (сек)]],протокол911д4[[#This Row],[результат (сек)7]])=4,0,IF(COUNT(протокол911д4[[#This Row],[результат]],протокол911д4[[#This Row],[результат2]],протокол911д4[[#This Row],[результат (сек)5]],протокол911д4[[#This Row],[результат3 (сек)]],протокол911д4[[#This Row],[результат (сек)7]])&lt;4,"",SUM(протокол911д4[[#This Row],[зачетный балл]],протокол911д4[[#This Row],[зачетный балл3]],протокол911д4[[#This Row],[зачетный балл6]],протокол911д4[[#This Row],[зачетный балл72]],протокол911д4[[#This Row],[зачетный балл8]])))</f>
        <v>84.166666666666657</v>
      </c>
      <c r="P6" s="38" t="str">
        <f>IF(протокол911д4[[#This Row],[зачетный балл9]]="","",IF(протокол911д4[[#This Row],[зачетный балл9]]&lt;=50,"Участник",IF(протокол911д4[[#This Row],[зачетный балл9]]=$O$3,"Победитель",IF(COUNTIF([зачетный балл9],"&gt;="&amp;"0")/4&gt;=COUNTIF([зачетный балл9],"&gt;="&amp;протокол911д4[[#This Row],[зачетный балл9]]),"Призер","Участник"))))</f>
        <v>Победитель</v>
      </c>
    </row>
    <row r="7" spans="1:16">
      <c r="A7"/>
      <c r="B7"/>
    </row>
    <row r="8" spans="1:16" ht="15.75">
      <c r="A8" s="89"/>
      <c r="B8"/>
    </row>
    <row r="9" spans="1:16">
      <c r="A9"/>
      <c r="B9"/>
    </row>
    <row r="10" spans="1:16" ht="15.75">
      <c r="A10" s="89"/>
      <c r="B10" s="89"/>
    </row>
    <row r="11" spans="1:16" ht="15.75">
      <c r="A11" s="89"/>
      <c r="B11" s="89"/>
    </row>
    <row r="12" spans="1:16" ht="15.75">
      <c r="A12" s="89"/>
      <c r="B12" s="89"/>
      <c r="H12"/>
      <c r="I12" s="10"/>
      <c r="J12" s="10"/>
      <c r="K12" s="10"/>
      <c r="L12" s="10"/>
      <c r="M12" s="10"/>
    </row>
    <row r="13" spans="1:16" ht="15.75">
      <c r="A13" s="89"/>
      <c r="B13" s="89"/>
      <c r="H13" t="s">
        <v>102</v>
      </c>
      <c r="I13" s="10"/>
      <c r="J13" s="10"/>
      <c r="K13" s="10"/>
      <c r="L13" s="10" t="s">
        <v>104</v>
      </c>
      <c r="M13" s="10"/>
    </row>
    <row r="14" spans="1:16">
      <c r="H14"/>
      <c r="I14" s="10"/>
      <c r="J14" s="10"/>
      <c r="K14" s="10"/>
      <c r="L14" s="10"/>
      <c r="M14" s="10"/>
    </row>
    <row r="15" spans="1:16">
      <c r="H15" t="s">
        <v>103</v>
      </c>
      <c r="I15" s="10"/>
      <c r="J15" s="10"/>
      <c r="K15" s="10"/>
      <c r="L15" s="10" t="s">
        <v>105</v>
      </c>
      <c r="M15" s="10"/>
    </row>
    <row r="16" spans="1:16">
      <c r="H16"/>
      <c r="I16" s="10"/>
      <c r="J16" s="10"/>
      <c r="K16" s="10"/>
      <c r="L16" s="10" t="s">
        <v>106</v>
      </c>
      <c r="M16" s="10"/>
    </row>
    <row r="17" spans="8:13">
      <c r="H17"/>
      <c r="I17" s="10"/>
      <c r="J17" s="10"/>
      <c r="K17" s="10"/>
      <c r="L17" s="10"/>
      <c r="M17" s="10"/>
    </row>
    <row r="18" spans="8:13">
      <c r="H18"/>
      <c r="I18" s="10"/>
      <c r="J18" s="10"/>
      <c r="K18" s="10"/>
      <c r="L18" s="10"/>
      <c r="M18" s="10"/>
    </row>
    <row r="19" spans="8:13">
      <c r="H19"/>
      <c r="I19" s="10"/>
      <c r="J19" s="10"/>
      <c r="K19" s="10"/>
      <c r="L19" s="10"/>
      <c r="M19" s="10"/>
    </row>
    <row r="20" spans="8:13">
      <c r="H20"/>
      <c r="I20" s="10"/>
      <c r="J20" s="10"/>
      <c r="K20" s="10"/>
      <c r="L20" s="10"/>
      <c r="M20" s="10"/>
    </row>
    <row r="21" spans="8:13">
      <c r="H21" t="s">
        <v>107</v>
      </c>
      <c r="I21" s="10"/>
      <c r="J21" s="10"/>
      <c r="K21" s="10"/>
      <c r="L21" s="10" t="s">
        <v>108</v>
      </c>
      <c r="M21" s="10"/>
    </row>
    <row r="22" spans="8:13">
      <c r="H22"/>
      <c r="I22" s="10"/>
      <c r="J22" s="10"/>
      <c r="K22" s="10"/>
      <c r="L22" s="10"/>
      <c r="M22" s="10"/>
    </row>
  </sheetData>
  <sheetProtection formatCells="0" formatColumns="0" formatRows="0" insertColumns="0" insertRows="0" insertHyperlinks="0" deleteColumns="0" deleteRows="0" sort="0" autoFilter="0" pivotTables="0"/>
  <mergeCells count="7">
    <mergeCell ref="A1:O1"/>
    <mergeCell ref="G2:N2"/>
    <mergeCell ref="E4:F4"/>
    <mergeCell ref="G4:H4"/>
    <mergeCell ref="I4:J4"/>
    <mergeCell ref="K4:L4"/>
    <mergeCell ref="M4:N4"/>
  </mergeCells>
  <pageMargins left="0.30357142857142855" right="0.24107142857142858" top="0.4107142857142857" bottom="0.75" header="0.3" footer="0.3"/>
  <pageSetup paperSize="9" scale="6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!!!!Инструкция!!!!</vt:lpstr>
      <vt:lpstr>юноши 5-6</vt:lpstr>
      <vt:lpstr>девушки 5-6</vt:lpstr>
      <vt:lpstr>юноши-7-8</vt:lpstr>
      <vt:lpstr>девушки 7-8</vt:lpstr>
      <vt:lpstr>юноши 9-11</vt:lpstr>
      <vt:lpstr>девушки 9-11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2020-10-06T00:08:32Z</dcterms:modified>
</cp:coreProperties>
</file>